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tadas\Desktop\stud\"/>
    </mc:Choice>
  </mc:AlternateContent>
  <xr:revisionPtr revIDLastSave="0" documentId="8_{192F7EE7-8E87-469E-A783-FE89EEA0375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0" i="1" l="1"/>
  <c r="S60" i="1"/>
  <c r="Q64" i="1"/>
  <c r="Q83" i="1"/>
  <c r="Q73" i="1"/>
  <c r="K75" i="1"/>
  <c r="C12" i="2"/>
  <c r="E11" i="2"/>
  <c r="F12" i="2"/>
  <c r="Q100" i="1"/>
  <c r="Q99" i="1"/>
  <c r="Q82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P82" i="1"/>
  <c r="P87" i="1"/>
  <c r="S86" i="1"/>
  <c r="Q69" i="1"/>
  <c r="P63" i="1"/>
  <c r="P64" i="1"/>
  <c r="M63" i="1"/>
  <c r="F63" i="1"/>
  <c r="L120" i="1"/>
  <c r="L119" i="1"/>
  <c r="J111" i="1"/>
  <c r="P75" i="1"/>
  <c r="P81" i="1"/>
  <c r="P66" i="1"/>
  <c r="G66" i="1"/>
  <c r="R83" i="1" l="1"/>
  <c r="R86" i="1"/>
  <c r="K65" i="1"/>
  <c r="K66" i="1" s="1"/>
  <c r="J65" i="1"/>
  <c r="J66" i="1" s="1"/>
  <c r="H64" i="1"/>
  <c r="I65" i="1" s="1"/>
  <c r="I66" i="1" s="1"/>
  <c r="G64" i="1"/>
  <c r="G65" i="1" s="1"/>
  <c r="H83" i="1"/>
  <c r="M87" i="1"/>
  <c r="L83" i="1"/>
  <c r="L84" i="1" s="1"/>
  <c r="L85" i="1" s="1"/>
  <c r="L86" i="1" s="1"/>
  <c r="G83" i="1"/>
  <c r="G84" i="1" s="1"/>
  <c r="K84" i="1"/>
  <c r="J84" i="1" s="1"/>
  <c r="K85" i="1" s="1"/>
  <c r="F100" i="1"/>
  <c r="C100" i="1"/>
  <c r="F99" i="1"/>
  <c r="C99" i="1"/>
  <c r="F98" i="1"/>
  <c r="C98" i="1"/>
  <c r="F97" i="1"/>
  <c r="C97" i="1"/>
  <c r="F96" i="1"/>
  <c r="C96" i="1"/>
  <c r="F95" i="1"/>
  <c r="C95" i="1"/>
  <c r="F94" i="1"/>
  <c r="C94" i="1"/>
  <c r="F93" i="1"/>
  <c r="C93" i="1"/>
  <c r="F92" i="1"/>
  <c r="C92" i="1"/>
  <c r="F91" i="1"/>
  <c r="C91" i="1"/>
  <c r="F90" i="1"/>
  <c r="C90" i="1"/>
  <c r="F89" i="1"/>
  <c r="C89" i="1"/>
  <c r="F88" i="1"/>
  <c r="C88" i="1"/>
  <c r="F87" i="1"/>
  <c r="C87" i="1"/>
  <c r="F86" i="1"/>
  <c r="C86" i="1"/>
  <c r="F85" i="1"/>
  <c r="C85" i="1"/>
  <c r="F84" i="1"/>
  <c r="C84" i="1"/>
  <c r="F83" i="1"/>
  <c r="C83" i="1"/>
  <c r="M82" i="1"/>
  <c r="F82" i="1"/>
  <c r="M77" i="1"/>
  <c r="M81" i="1"/>
  <c r="M80" i="1"/>
  <c r="M79" i="1"/>
  <c r="M78" i="1"/>
  <c r="M69" i="1"/>
  <c r="C80" i="1"/>
  <c r="C81" i="1"/>
  <c r="F77" i="1"/>
  <c r="F78" i="1"/>
  <c r="F79" i="1"/>
  <c r="F80" i="1"/>
  <c r="F81" i="1"/>
  <c r="L70" i="1"/>
  <c r="L71" i="1" s="1"/>
  <c r="L72" i="1" s="1"/>
  <c r="L73" i="1" s="1"/>
  <c r="M73" i="1" s="1"/>
  <c r="F69" i="1"/>
  <c r="F70" i="1"/>
  <c r="F71" i="1"/>
  <c r="F72" i="1"/>
  <c r="F73" i="1"/>
  <c r="F74" i="1"/>
  <c r="F75" i="1"/>
  <c r="F76" i="1"/>
  <c r="C11" i="2"/>
  <c r="F58" i="1"/>
  <c r="H58" i="1"/>
  <c r="F66" i="1"/>
  <c r="F67" i="1"/>
  <c r="F68" i="1"/>
  <c r="F65" i="1"/>
  <c r="L64" i="1"/>
  <c r="M64" i="1" s="1"/>
  <c r="F64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X63" i="1"/>
  <c r="H84" i="1" l="1"/>
  <c r="H85" i="1" s="1"/>
  <c r="Q63" i="1"/>
  <c r="R63" i="1" s="1"/>
  <c r="H65" i="1"/>
  <c r="H66" i="1" s="1"/>
  <c r="R82" i="1"/>
  <c r="U83" i="1"/>
  <c r="L65" i="1"/>
  <c r="M65" i="1" s="1"/>
  <c r="P65" i="1" s="1"/>
  <c r="I84" i="1"/>
  <c r="J85" i="1" s="1"/>
  <c r="K86" i="1" s="1"/>
  <c r="R64" i="1"/>
  <c r="M88" i="1"/>
  <c r="G85" i="1"/>
  <c r="M84" i="1"/>
  <c r="M83" i="1"/>
  <c r="P83" i="1" s="1"/>
  <c r="M72" i="1"/>
  <c r="L74" i="1"/>
  <c r="M70" i="1"/>
  <c r="M71" i="1"/>
  <c r="K67" i="1"/>
  <c r="K68" i="1" s="1"/>
  <c r="Y63" i="1"/>
  <c r="AA63" i="1" s="1"/>
  <c r="L66" i="1" l="1"/>
  <c r="M66" i="1" s="1"/>
  <c r="Q66" i="1" s="1"/>
  <c r="R66" i="1" s="1"/>
  <c r="I85" i="1"/>
  <c r="J86" i="1" s="1"/>
  <c r="K87" i="1" s="1"/>
  <c r="P84" i="1"/>
  <c r="R84" i="1" s="1"/>
  <c r="Q65" i="1"/>
  <c r="R65" i="1" s="1"/>
  <c r="I86" i="1"/>
  <c r="J87" i="1" s="1"/>
  <c r="K88" i="1" s="1"/>
  <c r="M89" i="1"/>
  <c r="H86" i="1"/>
  <c r="G86" i="1"/>
  <c r="M85" i="1"/>
  <c r="P85" i="1" s="1"/>
  <c r="R85" i="1" s="1"/>
  <c r="S89" i="1" s="1"/>
  <c r="L75" i="1"/>
  <c r="M74" i="1"/>
  <c r="L67" i="1"/>
  <c r="M67" i="1" s="1"/>
  <c r="J67" i="1"/>
  <c r="J68" i="1" s="1"/>
  <c r="I67" i="1"/>
  <c r="I68" i="1" s="1"/>
  <c r="D59" i="1"/>
  <c r="F59" i="1"/>
  <c r="K69" i="1" l="1"/>
  <c r="K70" i="1" s="1"/>
  <c r="G87" i="1"/>
  <c r="I87" i="1"/>
  <c r="J88" i="1" s="1"/>
  <c r="K89" i="1" s="1"/>
  <c r="M90" i="1"/>
  <c r="H87" i="1"/>
  <c r="M86" i="1"/>
  <c r="P86" i="1" s="1"/>
  <c r="M75" i="1"/>
  <c r="L76" i="1"/>
  <c r="M76" i="1" s="1"/>
  <c r="L68" i="1"/>
  <c r="M68" i="1" s="1"/>
  <c r="G67" i="1"/>
  <c r="H67" i="1"/>
  <c r="R87" i="1" l="1"/>
  <c r="P67" i="1"/>
  <c r="Q67" i="1" s="1"/>
  <c r="R67" i="1" s="1"/>
  <c r="G68" i="1"/>
  <c r="J69" i="1"/>
  <c r="J70" i="1" s="1"/>
  <c r="H68" i="1"/>
  <c r="I69" i="1" s="1"/>
  <c r="G88" i="1"/>
  <c r="I88" i="1"/>
  <c r="J89" i="1" s="1"/>
  <c r="K90" i="1" s="1"/>
  <c r="M91" i="1"/>
  <c r="H88" i="1"/>
  <c r="D57" i="1"/>
  <c r="K71" i="1" l="1"/>
  <c r="K72" i="1" s="1"/>
  <c r="I70" i="1"/>
  <c r="P88" i="1"/>
  <c r="R88" i="1" s="1"/>
  <c r="P68" i="1"/>
  <c r="Q68" i="1" s="1"/>
  <c r="R68" i="1" s="1"/>
  <c r="I89" i="1"/>
  <c r="J90" i="1" s="1"/>
  <c r="K91" i="1" s="1"/>
  <c r="M92" i="1"/>
  <c r="H89" i="1"/>
  <c r="G89" i="1"/>
  <c r="G69" i="1"/>
  <c r="H69" i="1"/>
  <c r="J71" i="1" l="1"/>
  <c r="J72" i="1" s="1"/>
  <c r="H70" i="1"/>
  <c r="I71" i="1" s="1"/>
  <c r="G70" i="1"/>
  <c r="P69" i="1"/>
  <c r="R69" i="1" s="1"/>
  <c r="P89" i="1"/>
  <c r="R89" i="1" s="1"/>
  <c r="I90" i="1"/>
  <c r="J91" i="1" s="1"/>
  <c r="K92" i="1" s="1"/>
  <c r="M93" i="1"/>
  <c r="G90" i="1"/>
  <c r="H90" i="1"/>
  <c r="P70" i="1" l="1"/>
  <c r="Q70" i="1" s="1"/>
  <c r="R70" i="1" s="1"/>
  <c r="K73" i="1"/>
  <c r="K74" i="1" s="1"/>
  <c r="I72" i="1"/>
  <c r="P90" i="1"/>
  <c r="R90" i="1" s="1"/>
  <c r="I91" i="1"/>
  <c r="J92" i="1" s="1"/>
  <c r="K93" i="1" s="1"/>
  <c r="M94" i="1"/>
  <c r="H91" i="1"/>
  <c r="G91" i="1"/>
  <c r="G71" i="1"/>
  <c r="H71" i="1"/>
  <c r="P71" i="1" l="1"/>
  <c r="Q71" i="1" s="1"/>
  <c r="R71" i="1" s="1"/>
  <c r="G72" i="1"/>
  <c r="J73" i="1"/>
  <c r="J74" i="1" s="1"/>
  <c r="K76" i="1" s="1"/>
  <c r="H72" i="1"/>
  <c r="P91" i="1"/>
  <c r="R91" i="1" s="1"/>
  <c r="I92" i="1"/>
  <c r="J93" i="1" s="1"/>
  <c r="K94" i="1" s="1"/>
  <c r="M95" i="1"/>
  <c r="G92" i="1"/>
  <c r="H92" i="1"/>
  <c r="I73" i="1"/>
  <c r="I74" i="1" s="1"/>
  <c r="J75" i="1" s="1"/>
  <c r="J76" i="1" s="1"/>
  <c r="P92" i="1" l="1"/>
  <c r="R92" i="1" s="1"/>
  <c r="P72" i="1"/>
  <c r="Q72" i="1" s="1"/>
  <c r="R72" i="1" s="1"/>
  <c r="I93" i="1"/>
  <c r="J94" i="1" s="1"/>
  <c r="K95" i="1" s="1"/>
  <c r="M96" i="1"/>
  <c r="G93" i="1"/>
  <c r="H93" i="1"/>
  <c r="G73" i="1"/>
  <c r="H73" i="1"/>
  <c r="H74" i="1" s="1"/>
  <c r="I75" i="1" s="1"/>
  <c r="I76" i="1" s="1"/>
  <c r="P93" i="1" l="1"/>
  <c r="R93" i="1" s="1"/>
  <c r="P73" i="1"/>
  <c r="R73" i="1" s="1"/>
  <c r="G74" i="1"/>
  <c r="I94" i="1"/>
  <c r="J95" i="1" s="1"/>
  <c r="K96" i="1" s="1"/>
  <c r="M97" i="1"/>
  <c r="G94" i="1"/>
  <c r="H94" i="1"/>
  <c r="K77" i="1"/>
  <c r="K78" i="1" s="1"/>
  <c r="P94" i="1" l="1"/>
  <c r="R94" i="1" s="1"/>
  <c r="P74" i="1"/>
  <c r="Q74" i="1" s="1"/>
  <c r="R74" i="1" s="1"/>
  <c r="G75" i="1"/>
  <c r="H75" i="1"/>
  <c r="H76" i="1" s="1"/>
  <c r="I95" i="1"/>
  <c r="J96" i="1" s="1"/>
  <c r="K97" i="1" s="1"/>
  <c r="M98" i="1"/>
  <c r="G95" i="1"/>
  <c r="H95" i="1"/>
  <c r="J77" i="1"/>
  <c r="J78" i="1" s="1"/>
  <c r="P95" i="1" l="1"/>
  <c r="R95" i="1" s="1"/>
  <c r="Q75" i="1"/>
  <c r="R75" i="1" s="1"/>
  <c r="G76" i="1"/>
  <c r="P76" i="1" s="1"/>
  <c r="I96" i="1"/>
  <c r="J97" i="1" s="1"/>
  <c r="K98" i="1" s="1"/>
  <c r="M99" i="1"/>
  <c r="G96" i="1"/>
  <c r="H96" i="1"/>
  <c r="I77" i="1"/>
  <c r="P96" i="1" l="1"/>
  <c r="R96" i="1" s="1"/>
  <c r="K79" i="1"/>
  <c r="K80" i="1" s="1"/>
  <c r="I78" i="1"/>
  <c r="Q76" i="1"/>
  <c r="R76" i="1" s="1"/>
  <c r="I97" i="1"/>
  <c r="J98" i="1" s="1"/>
  <c r="K99" i="1" s="1"/>
  <c r="M100" i="1"/>
  <c r="G97" i="1"/>
  <c r="H97" i="1"/>
  <c r="G77" i="1"/>
  <c r="H77" i="1"/>
  <c r="D11" i="2"/>
  <c r="E12" i="2" s="1"/>
  <c r="D12" i="2" s="1"/>
  <c r="P97" i="1" l="1"/>
  <c r="R97" i="1" s="1"/>
  <c r="J79" i="1"/>
  <c r="J80" i="1" s="1"/>
  <c r="H78" i="1"/>
  <c r="I79" i="1" s="1"/>
  <c r="P77" i="1"/>
  <c r="Q77" i="1" s="1"/>
  <c r="R77" i="1" s="1"/>
  <c r="G78" i="1"/>
  <c r="I98" i="1"/>
  <c r="J99" i="1" s="1"/>
  <c r="K100" i="1" s="1"/>
  <c r="G98" i="1"/>
  <c r="H98" i="1"/>
  <c r="P98" i="1" l="1"/>
  <c r="R98" i="1" s="1"/>
  <c r="P78" i="1"/>
  <c r="Q78" i="1" s="1"/>
  <c r="R78" i="1" s="1"/>
  <c r="K81" i="1"/>
  <c r="I80" i="1"/>
  <c r="I99" i="1"/>
  <c r="J100" i="1" s="1"/>
  <c r="H99" i="1"/>
  <c r="G99" i="1"/>
  <c r="H79" i="1"/>
  <c r="G79" i="1"/>
  <c r="P99" i="1" l="1"/>
  <c r="P79" i="1"/>
  <c r="Q79" i="1" s="1"/>
  <c r="R79" i="1" s="1"/>
  <c r="G80" i="1"/>
  <c r="J81" i="1"/>
  <c r="H80" i="1"/>
  <c r="I100" i="1"/>
  <c r="R99" i="1"/>
  <c r="H100" i="1"/>
  <c r="G100" i="1"/>
  <c r="P80" i="1" l="1"/>
  <c r="Q80" i="1" s="1"/>
  <c r="R80" i="1" s="1"/>
  <c r="P100" i="1"/>
  <c r="G81" i="1"/>
  <c r="H81" i="1"/>
  <c r="I81" i="1"/>
  <c r="Q81" i="1" l="1"/>
  <c r="R81" i="1" s="1"/>
</calcChain>
</file>

<file path=xl/sharedStrings.xml><?xml version="1.0" encoding="utf-8"?>
<sst xmlns="http://schemas.openxmlformats.org/spreadsheetml/2006/main" count="119" uniqueCount="71">
  <si>
    <t>Number of 16 ft longs</t>
  </si>
  <si>
    <t>Tree grade change</t>
  </si>
  <si>
    <t xml:space="preserve">4 to 3 </t>
  </si>
  <si>
    <t>3 to 2</t>
  </si>
  <si>
    <t>2 to 1</t>
  </si>
  <si>
    <t>1 to Veneer</t>
  </si>
  <si>
    <t>Trees on unthined,unmanaged forestland</t>
  </si>
  <si>
    <t>Trees on thinned, managed forestland</t>
  </si>
  <si>
    <t>Dollars/MBF</t>
  </si>
  <si>
    <t>Veneer</t>
  </si>
  <si>
    <t>1-3% +Infliacija</t>
  </si>
  <si>
    <t>Medžių skaičius</t>
  </si>
  <si>
    <t>Akrų skaičius</t>
  </si>
  <si>
    <t>Viso</t>
  </si>
  <si>
    <t>T+0</t>
  </si>
  <si>
    <t>Iš medžio gaunama mediena</t>
  </si>
  <si>
    <t>4kat</t>
  </si>
  <si>
    <t>3Kat</t>
  </si>
  <si>
    <t>2Kat</t>
  </si>
  <si>
    <t>1Kat</t>
  </si>
  <si>
    <t>VEENER</t>
  </si>
  <si>
    <t>SUMA</t>
  </si>
  <si>
    <t>Vidutinis Storis ties krūtine</t>
  </si>
  <si>
    <t>Nevalant</t>
  </si>
  <si>
    <t>Valant</t>
  </si>
  <si>
    <t>Tipas</t>
  </si>
  <si>
    <t>METAI</t>
  </si>
  <si>
    <t>METAI T</t>
  </si>
  <si>
    <t xml:space="preserve">tuscia </t>
  </si>
  <si>
    <t>tuscia</t>
  </si>
  <si>
    <t>Grand Total</t>
  </si>
  <si>
    <t>(Multiple Items)</t>
  </si>
  <si>
    <t>Suma įvertinus kainų kilimą</t>
  </si>
  <si>
    <t>Infliacija</t>
  </si>
  <si>
    <t>Diskonto norma</t>
  </si>
  <si>
    <t>SUMA po diskontavimo</t>
  </si>
  <si>
    <t>Sum of SUMA po diskontavimo</t>
  </si>
  <si>
    <t>Kvadratinės pėdos gaunamos iš vieno medžio</t>
  </si>
  <si>
    <t>Storis ties krūtine (coliais)</t>
  </si>
  <si>
    <t>Medienos klasė</t>
  </si>
  <si>
    <t>Augimo greitis per 10 m. (coliais matuojant storį ties krūtine)</t>
  </si>
  <si>
    <t>Nevalomas miškas</t>
  </si>
  <si>
    <t>Valomas, prižiūrimas miškas</t>
  </si>
  <si>
    <t>Nevalomas, neprižiūūrimas miškas</t>
  </si>
  <si>
    <t>Medienos klasės pokytis paaugus 2 colius</t>
  </si>
  <si>
    <t xml:space="preserve">4 į 3 </t>
  </si>
  <si>
    <t>Iš 3 į 2</t>
  </si>
  <si>
    <t>Iš 1 į Lakštinę</t>
  </si>
  <si>
    <t>Iš 2 į 1</t>
  </si>
  <si>
    <t>Suma valant</t>
  </si>
  <si>
    <t>Suma nevalant</t>
  </si>
  <si>
    <t>Miško vertė be kainų augimo ir diskontavimo</t>
  </si>
  <si>
    <t>T+10</t>
  </si>
  <si>
    <t>T+20</t>
  </si>
  <si>
    <t>T+30</t>
  </si>
  <si>
    <t>T+40</t>
  </si>
  <si>
    <t>T+50</t>
  </si>
  <si>
    <t>T+60</t>
  </si>
  <si>
    <t>T+70</t>
  </si>
  <si>
    <t>T+80</t>
  </si>
  <si>
    <t>T+90</t>
  </si>
  <si>
    <t>T+100</t>
  </si>
  <si>
    <t>T+110</t>
  </si>
  <si>
    <t>T+120</t>
  </si>
  <si>
    <t>T+130</t>
  </si>
  <si>
    <t>T+140</t>
  </si>
  <si>
    <t>T+150</t>
  </si>
  <si>
    <t>T+160</t>
  </si>
  <si>
    <t>T+170</t>
  </si>
  <si>
    <t>T+180</t>
  </si>
  <si>
    <t>board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</si>
</sst>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0" fillId="0" borderId="0" xfId="0" pivotButton="1"/>
    <xf numFmtId="0" fontId="0" fillId="0" borderId="0" xfId="0" applyNumberFormat="1"/>
    <xf numFmtId="8" fontId="0" fillId="0" borderId="0" xfId="0" applyNumberFormat="1"/>
    <xf numFmtId="0" fontId="0" fillId="0" borderId="0" xfId="0" applyAlignmen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u="none" strike="noStrike" baseline="0">
                <a:effectLst/>
              </a:rPr>
              <a:t>Medienos gaunamos iš vieno medžio dinamika pagal medžio storį ties krūtine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2620831485868385E-2"/>
          <c:y val="2.5631754493686956E-2"/>
          <c:w val="0.96199677636493508"/>
          <c:h val="0.61744848544118336"/>
        </c:manualLayout>
      </c:layout>
      <c:lineChart>
        <c:grouping val="standard"/>
        <c:varyColors val="0"/>
        <c:ser>
          <c:idx val="2"/>
          <c:order val="0"/>
          <c:tx>
            <c:strRef>
              <c:f>Sheet1!$R$23</c:f>
              <c:strCache>
                <c:ptCount val="1"/>
                <c:pt idx="0">
                  <c:v>Kvadratinės pėdos gaunamos iš vieno medžio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Sheet1!$P$23:$P$36</c15:sqref>
                  </c15:fullRef>
                </c:ext>
              </c:extLst>
              <c:f>Sheet1!$P$24:$P$36</c:f>
              <c:strCach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Sheet1!$R$24:$R$36</c15:sqref>
                  </c15:fullRef>
                </c:ext>
              </c:extLst>
              <c:f>Sheet1!$R$25:$R$36</c:f>
              <c:numCache>
                <c:formatCode>General</c:formatCode>
                <c:ptCount val="12"/>
                <c:pt idx="0">
                  <c:v>40</c:v>
                </c:pt>
                <c:pt idx="1">
                  <c:v>60</c:v>
                </c:pt>
                <c:pt idx="2">
                  <c:v>85</c:v>
                </c:pt>
                <c:pt idx="3">
                  <c:v>110</c:v>
                </c:pt>
                <c:pt idx="4">
                  <c:v>145</c:v>
                </c:pt>
                <c:pt idx="5">
                  <c:v>180</c:v>
                </c:pt>
                <c:pt idx="6">
                  <c:v>230</c:v>
                </c:pt>
                <c:pt idx="7">
                  <c:v>280</c:v>
                </c:pt>
                <c:pt idx="8">
                  <c:v>315</c:v>
                </c:pt>
                <c:pt idx="9">
                  <c:v>350</c:v>
                </c:pt>
                <c:pt idx="10">
                  <c:v>385</c:v>
                </c:pt>
                <c:pt idx="11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B-4DB0-AC3F-D3E798D8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001320"/>
        <c:axId val="399999024"/>
      </c:lineChart>
      <c:catAx>
        <c:axId val="40000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99024"/>
        <c:crosses val="autoZero"/>
        <c:auto val="1"/>
        <c:lblAlgn val="ctr"/>
        <c:lblOffset val="100"/>
        <c:noMultiLvlLbl val="0"/>
      </c:catAx>
      <c:valAx>
        <c:axId val="39999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00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Sheet1!$V$24</c:f>
              <c:strCache>
                <c:ptCount val="1"/>
                <c:pt idx="0">
                  <c:v>Nevalomas, neprižiūūrimas miškas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Sheet1!$W$23:$Z$23</c:f>
              <c:strCache>
                <c:ptCount val="4"/>
                <c:pt idx="0">
                  <c:v>4 į 3 </c:v>
                </c:pt>
                <c:pt idx="1">
                  <c:v>Iš 3 į 2</c:v>
                </c:pt>
                <c:pt idx="2">
                  <c:v>Iš 2 į 1</c:v>
                </c:pt>
                <c:pt idx="3">
                  <c:v>Iš 1 į Lakštinę</c:v>
                </c:pt>
              </c:strCache>
            </c:strRef>
          </c:cat>
          <c:val>
            <c:numRef>
              <c:f>Sheet1!$W$24:$Z$24</c:f>
              <c:numCache>
                <c:formatCode>0.00%</c:formatCode>
                <c:ptCount val="4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F-4A80-A51D-F74784B53D9A}"/>
            </c:ext>
          </c:extLst>
        </c:ser>
        <c:ser>
          <c:idx val="1"/>
          <c:order val="1"/>
          <c:tx>
            <c:strRef>
              <c:f>Sheet1!$V$25</c:f>
              <c:strCache>
                <c:ptCount val="1"/>
                <c:pt idx="0">
                  <c:v>Valomas, prižiūrimas miškas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Sheet1!$W$23:$Z$23</c:f>
              <c:strCache>
                <c:ptCount val="4"/>
                <c:pt idx="0">
                  <c:v>4 į 3 </c:v>
                </c:pt>
                <c:pt idx="1">
                  <c:v>Iš 3 į 2</c:v>
                </c:pt>
                <c:pt idx="2">
                  <c:v>Iš 2 į 1</c:v>
                </c:pt>
                <c:pt idx="3">
                  <c:v>Iš 1 į Lakštinę</c:v>
                </c:pt>
              </c:strCache>
            </c:strRef>
          </c:cat>
          <c:val>
            <c:numRef>
              <c:f>Sheet1!$W$25:$Z$25</c:f>
              <c:numCache>
                <c:formatCode>0.00%</c:formatCode>
                <c:ptCount val="4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F-4A80-A51D-F74784B53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157840"/>
        <c:axId val="406150296"/>
      </c:barChart>
      <c:catAx>
        <c:axId val="4061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50296"/>
        <c:crosses val="autoZero"/>
        <c:auto val="1"/>
        <c:lblAlgn val="ctr"/>
        <c:lblOffset val="100"/>
        <c:noMultiLvlLbl val="0"/>
      </c:catAx>
      <c:valAx>
        <c:axId val="40615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5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642946967968736E-2"/>
          <c:y val="2.5265595723665265E-2"/>
          <c:w val="0.92435705303203131"/>
          <c:h val="0.72267391172851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Sheet1!$W$29</c:f>
              <c:strCache>
                <c:ptCount val="1"/>
                <c:pt idx="0">
                  <c:v>Dollars/MBF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Sheet1!$V$30:$V$34</c:f>
              <c:strCach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Veneer</c:v>
                </c:pt>
              </c:strCache>
            </c:strRef>
          </c:cat>
          <c:val>
            <c:numRef>
              <c:f>Sheet1!$W$30:$W$34</c:f>
              <c:numCache>
                <c:formatCode>General</c:formatCode>
                <c:ptCount val="5"/>
                <c:pt idx="0">
                  <c:v>40</c:v>
                </c:pt>
                <c:pt idx="1">
                  <c:v>120</c:v>
                </c:pt>
                <c:pt idx="2">
                  <c:v>260</c:v>
                </c:pt>
                <c:pt idx="3">
                  <c:v>445</c:v>
                </c:pt>
                <c:pt idx="4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6-44F4-9BDD-53C27589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552048"/>
        <c:axId val="395551720"/>
      </c:barChart>
      <c:catAx>
        <c:axId val="39555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51720"/>
        <c:crosses val="autoZero"/>
        <c:auto val="1"/>
        <c:lblAlgn val="ctr"/>
        <c:lblOffset val="100"/>
        <c:noMultiLvlLbl val="0"/>
      </c:catAx>
      <c:valAx>
        <c:axId val="39555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5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Miško vertė be kainų augimo ir diskontavimo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Sheet1!$X$68</c:f>
              <c:strCache>
                <c:ptCount val="1"/>
                <c:pt idx="0">
                  <c:v>Suma nevalant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Sheet1!$W$69:$W$87</c:f>
              <c:strCache>
                <c:ptCount val="19"/>
                <c:pt idx="0">
                  <c:v>T+0</c:v>
                </c:pt>
                <c:pt idx="1">
                  <c:v>T+10</c:v>
                </c:pt>
                <c:pt idx="2">
                  <c:v>T+20</c:v>
                </c:pt>
                <c:pt idx="3">
                  <c:v>T+30</c:v>
                </c:pt>
                <c:pt idx="4">
                  <c:v>T+40</c:v>
                </c:pt>
                <c:pt idx="5">
                  <c:v>T+50</c:v>
                </c:pt>
                <c:pt idx="6">
                  <c:v>T+60</c:v>
                </c:pt>
                <c:pt idx="7">
                  <c:v>T+70</c:v>
                </c:pt>
                <c:pt idx="8">
                  <c:v>T+80</c:v>
                </c:pt>
                <c:pt idx="9">
                  <c:v>T+90</c:v>
                </c:pt>
                <c:pt idx="10">
                  <c:v>T+100</c:v>
                </c:pt>
                <c:pt idx="11">
                  <c:v>T+110</c:v>
                </c:pt>
                <c:pt idx="12">
                  <c:v>T+120</c:v>
                </c:pt>
                <c:pt idx="13">
                  <c:v>T+130</c:v>
                </c:pt>
                <c:pt idx="14">
                  <c:v>T+140</c:v>
                </c:pt>
                <c:pt idx="15">
                  <c:v>T+150</c:v>
                </c:pt>
                <c:pt idx="16">
                  <c:v>T+160</c:v>
                </c:pt>
                <c:pt idx="17">
                  <c:v>T+170</c:v>
                </c:pt>
                <c:pt idx="18">
                  <c:v>T+180</c:v>
                </c:pt>
              </c:strCache>
            </c:strRef>
          </c:cat>
          <c:val>
            <c:numRef>
              <c:f>Sheet1!$X$69:$X$87</c:f>
              <c:numCache>
                <c:formatCode>General</c:formatCode>
                <c:ptCount val="19"/>
                <c:pt idx="0">
                  <c:v>8160</c:v>
                </c:pt>
                <c:pt idx="1">
                  <c:v>10560</c:v>
                </c:pt>
                <c:pt idx="2">
                  <c:v>30624</c:v>
                </c:pt>
                <c:pt idx="3">
                  <c:v>38016</c:v>
                </c:pt>
                <c:pt idx="4">
                  <c:v>82358.399999999994</c:v>
                </c:pt>
                <c:pt idx="5">
                  <c:v>100262.39999999999</c:v>
                </c:pt>
                <c:pt idx="6">
                  <c:v>57256.319999999992</c:v>
                </c:pt>
                <c:pt idx="7">
                  <c:v>75474.239999999991</c:v>
                </c:pt>
                <c:pt idx="8">
                  <c:v>122546.30399999997</c:v>
                </c:pt>
                <c:pt idx="9">
                  <c:v>156586.94399999999</c:v>
                </c:pt>
                <c:pt idx="10">
                  <c:v>232136.21760000003</c:v>
                </c:pt>
                <c:pt idx="11">
                  <c:v>261153.24480000004</c:v>
                </c:pt>
                <c:pt idx="12">
                  <c:v>336569.11679999996</c:v>
                </c:pt>
                <c:pt idx="13">
                  <c:v>370226.02848000004</c:v>
                </c:pt>
                <c:pt idx="14">
                  <c:v>415188.24547200004</c:v>
                </c:pt>
                <c:pt idx="15">
                  <c:v>415188.24547200004</c:v>
                </c:pt>
                <c:pt idx="16">
                  <c:v>454621.77055679995</c:v>
                </c:pt>
                <c:pt idx="17">
                  <c:v>454621.77055679995</c:v>
                </c:pt>
                <c:pt idx="18">
                  <c:v>489243.60637151991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6-4275-AE69-BA10DBA7EDEC}"/>
            </c:ext>
          </c:extLst>
        </c:ser>
        <c:ser>
          <c:idx val="1"/>
          <c:order val="1"/>
          <c:tx>
            <c:strRef>
              <c:f>Sheet1!$Y$68</c:f>
              <c:strCache>
                <c:ptCount val="1"/>
                <c:pt idx="0">
                  <c:v>Suma valant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Sheet1!$W$69:$W$87</c:f>
              <c:strCache>
                <c:ptCount val="19"/>
                <c:pt idx="0">
                  <c:v>T+0</c:v>
                </c:pt>
                <c:pt idx="1">
                  <c:v>T+10</c:v>
                </c:pt>
                <c:pt idx="2">
                  <c:v>T+20</c:v>
                </c:pt>
                <c:pt idx="3">
                  <c:v>T+30</c:v>
                </c:pt>
                <c:pt idx="4">
                  <c:v>T+40</c:v>
                </c:pt>
                <c:pt idx="5">
                  <c:v>T+50</c:v>
                </c:pt>
                <c:pt idx="6">
                  <c:v>T+60</c:v>
                </c:pt>
                <c:pt idx="7">
                  <c:v>T+70</c:v>
                </c:pt>
                <c:pt idx="8">
                  <c:v>T+80</c:v>
                </c:pt>
                <c:pt idx="9">
                  <c:v>T+90</c:v>
                </c:pt>
                <c:pt idx="10">
                  <c:v>T+100</c:v>
                </c:pt>
                <c:pt idx="11">
                  <c:v>T+110</c:v>
                </c:pt>
                <c:pt idx="12">
                  <c:v>T+120</c:v>
                </c:pt>
                <c:pt idx="13">
                  <c:v>T+130</c:v>
                </c:pt>
                <c:pt idx="14">
                  <c:v>T+140</c:v>
                </c:pt>
                <c:pt idx="15">
                  <c:v>T+150</c:v>
                </c:pt>
                <c:pt idx="16">
                  <c:v>T+160</c:v>
                </c:pt>
                <c:pt idx="17">
                  <c:v>T+170</c:v>
                </c:pt>
                <c:pt idx="18">
                  <c:v>T+180</c:v>
                </c:pt>
              </c:strCache>
            </c:strRef>
          </c:cat>
          <c:val>
            <c:numRef>
              <c:f>Sheet1!$Y$69:$Y$87</c:f>
              <c:numCache>
                <c:formatCode>General</c:formatCode>
                <c:ptCount val="19"/>
                <c:pt idx="0">
                  <c:v>8160</c:v>
                </c:pt>
                <c:pt idx="1">
                  <c:v>22176</c:v>
                </c:pt>
                <c:pt idx="2">
                  <c:v>57955.199999999983</c:v>
                </c:pt>
                <c:pt idx="3">
                  <c:v>117147.35999999999</c:v>
                </c:pt>
                <c:pt idx="4">
                  <c:v>187656.62399999998</c:v>
                </c:pt>
                <c:pt idx="5">
                  <c:v>226964.69279999993</c:v>
                </c:pt>
                <c:pt idx="6">
                  <c:v>259642.47023999994</c:v>
                </c:pt>
                <c:pt idx="7">
                  <c:v>286279.87118399993</c:v>
                </c:pt>
                <c:pt idx="8">
                  <c:v>307787.34572639992</c:v>
                </c:pt>
                <c:pt idx="9">
                  <c:v>325071.92896847997</c:v>
                </c:pt>
                <c:pt idx="10">
                  <c:v>338930.85912062391</c:v>
                </c:pt>
                <c:pt idx="11">
                  <c:v>350030.4447977423</c:v>
                </c:pt>
                <c:pt idx="12">
                  <c:v>358915.06870069087</c:v>
                </c:pt>
                <c:pt idx="13">
                  <c:v>366024.74316917703</c:v>
                </c:pt>
                <c:pt idx="14">
                  <c:v>371713.27075888409</c:v>
                </c:pt>
                <c:pt idx="15">
                  <c:v>376264.4073827531</c:v>
                </c:pt>
                <c:pt idx="16">
                  <c:v>379905.44230316964</c:v>
                </c:pt>
                <c:pt idx="17">
                  <c:v>382818.3204275032</c:v>
                </c:pt>
                <c:pt idx="18">
                  <c:v>385148.64298387745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6-4275-AE69-BA10DBA7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414008"/>
        <c:axId val="386414968"/>
      </c:lineChart>
      <c:catAx>
        <c:axId val="38641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t-LT"/>
                  <a:t>Metai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14968"/>
        <c:crosses val="autoZero"/>
        <c:auto val="1"/>
        <c:lblAlgn val="ctr"/>
        <c:lblOffset val="100"/>
        <c:noMultiLvlLbl val="0"/>
      </c:catAx>
      <c:valAx>
        <c:axId val="38641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t-LT"/>
                  <a:t>Suma</a:t>
                </a:r>
                <a:r>
                  <a:rPr lang="lt-LT" baseline="0"/>
                  <a:t>, </a:t>
                </a:r>
                <a:r>
                  <a:rPr lang="en-US" baseline="0"/>
                  <a:t>$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1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Suma </a:t>
            </a:r>
            <a:r>
              <a:rPr lang="lt-LT"/>
              <a:t>įvertinus</a:t>
            </a:r>
            <a:r>
              <a:rPr lang="lt-LT" baseline="0"/>
              <a:t> kainų kilimą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35870516185478"/>
          <c:y val="0.19428295421405659"/>
          <c:w val="0.81419685039370082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Sheet1!$Q$121</c:f>
              <c:strCache>
                <c:ptCount val="1"/>
                <c:pt idx="0">
                  <c:v>Nevalant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Sheet1!$P$122:$P$140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cat>
          <c:val>
            <c:numRef>
              <c:f>Sheet1!$Q$122:$Q$140</c:f>
              <c:numCache>
                <c:formatCode>General</c:formatCode>
                <c:ptCount val="19"/>
                <c:pt idx="0">
                  <c:v>8160</c:v>
                </c:pt>
                <c:pt idx="1">
                  <c:v>17201.127258769782</c:v>
                </c:pt>
                <c:pt idx="2">
                  <c:v>81254.588922342751</c:v>
                </c:pt>
                <c:pt idx="3">
                  <c:v>164302.96133372758</c:v>
                </c:pt>
                <c:pt idx="4">
                  <c:v>579802.20634864666</c:v>
                </c:pt>
                <c:pt idx="5">
                  <c:v>1149749.0242791502</c:v>
                </c:pt>
                <c:pt idx="6">
                  <c:v>1069501.4448933902</c:v>
                </c:pt>
                <c:pt idx="7">
                  <c:v>2296411.3432095023</c:v>
                </c:pt>
                <c:pt idx="8">
                  <c:v>6073571.4236553628</c:v>
                </c:pt>
                <c:pt idx="9">
                  <c:v>12641321.151047137</c:v>
                </c:pt>
                <c:pt idx="10">
                  <c:v>30526204.606083248</c:v>
                </c:pt>
                <c:pt idx="11">
                  <c:v>55939466.991102517</c:v>
                </c:pt>
                <c:pt idx="12">
                  <c:v>117432998.85694449</c:v>
                </c:pt>
                <c:pt idx="13">
                  <c:v>210414578.92888221</c:v>
                </c:pt>
                <c:pt idx="14">
                  <c:v>384367730.42598212</c:v>
                </c:pt>
                <c:pt idx="15">
                  <c:v>626094530.79752243</c:v>
                </c:pt>
                <c:pt idx="16">
                  <c:v>1116704021.7188075</c:v>
                </c:pt>
                <c:pt idx="17">
                  <c:v>1818993180.678525</c:v>
                </c:pt>
                <c:pt idx="18">
                  <c:v>3188592288.410152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8-4441-96EC-F84CF79E7330}"/>
            </c:ext>
          </c:extLst>
        </c:ser>
        <c:ser>
          <c:idx val="1"/>
          <c:order val="1"/>
          <c:tx>
            <c:strRef>
              <c:f>Sheet1!$R$121</c:f>
              <c:strCache>
                <c:ptCount val="1"/>
                <c:pt idx="0">
                  <c:v>Valant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Sheet1!$P$122:$P$140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cat>
          <c:val>
            <c:numRef>
              <c:f>Sheet1!$R$122:$R$140</c:f>
              <c:numCache>
                <c:formatCode>General</c:formatCode>
                <c:ptCount val="19"/>
                <c:pt idx="0">
                  <c:v>8160</c:v>
                </c:pt>
                <c:pt idx="1">
                  <c:v>33556.477166164579</c:v>
                </c:pt>
                <c:pt idx="2">
                  <c:v>147026.94452419665</c:v>
                </c:pt>
                <c:pt idx="3">
                  <c:v>492750.61443041492</c:v>
                </c:pt>
                <c:pt idx="4">
                  <c:v>1296457.3607699508</c:v>
                </c:pt>
                <c:pt idx="5">
                  <c:v>2559987.8784624948</c:v>
                </c:pt>
                <c:pt idx="6">
                  <c:v>4777778.8891742257</c:v>
                </c:pt>
                <c:pt idx="7">
                  <c:v>8590413.3667115811</c:v>
                </c:pt>
                <c:pt idx="8">
                  <c:v>15056253.716786128</c:v>
                </c:pt>
                <c:pt idx="9">
                  <c:v>25917875.603448693</c:v>
                </c:pt>
                <c:pt idx="10">
                  <c:v>44037389.165277451</c:v>
                </c:pt>
                <c:pt idx="11">
                  <c:v>74107250.734643444</c:v>
                </c:pt>
                <c:pt idx="12">
                  <c:v>123810288.40471616</c:v>
                </c:pt>
                <c:pt idx="13">
                  <c:v>205712066.12442493</c:v>
                </c:pt>
                <c:pt idx="14">
                  <c:v>340346966.51411843</c:v>
                </c:pt>
                <c:pt idx="15">
                  <c:v>561249790.71502936</c:v>
                </c:pt>
                <c:pt idx="16">
                  <c:v>923157809.24219453</c:v>
                </c:pt>
                <c:pt idx="17">
                  <c:v>1515378984.4519048</c:v>
                </c:pt>
                <c:pt idx="18">
                  <c:v>2483577744.6308179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8-4441-96EC-F84CF79E7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828920"/>
        <c:axId val="585829240"/>
      </c:lineChart>
      <c:catAx>
        <c:axId val="5858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829240"/>
        <c:crosses val="autoZero"/>
        <c:auto val="1"/>
        <c:lblAlgn val="ctr"/>
        <c:lblOffset val="100"/>
        <c:noMultiLvlLbl val="0"/>
      </c:catAx>
      <c:valAx>
        <c:axId val="58582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82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[TREE-VALUES MA CFA 2019 R.Radžiukynas, T.Grigaitis.xlsx]Sheet3!PivotTable1</c:name>
    <c:fmtId val="1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Sheet3!$B$3:$B$4</c:f>
              <c:strCache>
                <c:ptCount val="1"/>
                <c:pt idx="0">
                  <c:v>Nevalant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Sheet3!$A$5:$A$20</c:f>
              <c:strCache>
                <c:ptCount val="1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</c:strCache>
            </c:strRef>
          </c:cat>
          <c:val>
            <c:numRef>
              <c:f>Sheet3!$B$5:$B$20</c:f>
              <c:numCache>
                <c:formatCode>General</c:formatCode>
                <c:ptCount val="15"/>
                <c:pt idx="0">
                  <c:v>8160</c:v>
                </c:pt>
                <c:pt idx="1">
                  <c:v>6631.7791852420814</c:v>
                </c:pt>
                <c:pt idx="2">
                  <c:v>12077.976891027405</c:v>
                </c:pt>
                <c:pt idx="3">
                  <c:v>9415.9650171336652</c:v>
                </c:pt>
                <c:pt idx="4">
                  <c:v>12810.688091748752</c:v>
                </c:pt>
                <c:pt idx="5">
                  <c:v>9794.1960218777349</c:v>
                </c:pt>
                <c:pt idx="6">
                  <c:v>3512.5318114555917</c:v>
                </c:pt>
                <c:pt idx="7">
                  <c:v>2907.7811866677162</c:v>
                </c:pt>
                <c:pt idx="8">
                  <c:v>2965.0316282965418</c:v>
                </c:pt>
                <c:pt idx="9">
                  <c:v>2379.3087427966816</c:v>
                </c:pt>
                <c:pt idx="10">
                  <c:v>2215.1558909955329</c:v>
                </c:pt>
                <c:pt idx="11">
                  <c:v>1565.0310436758402</c:v>
                </c:pt>
                <c:pt idx="12">
                  <c:v>1266.6829723820774</c:v>
                </c:pt>
                <c:pt idx="13">
                  <c:v>875.03768443167019</c:v>
                </c:pt>
                <c:pt idx="14">
                  <c:v>616.26995799288352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A-4739-827A-D1ECF5B0DD8B}"/>
            </c:ext>
          </c:extLst>
        </c:ser>
        <c:ser>
          <c:idx val="1"/>
          <c:order val="1"/>
          <c:tx>
            <c:strRef>
              <c:f>Sheet3!$C$3:$C$4</c:f>
              <c:strCache>
                <c:ptCount val="1"/>
                <c:pt idx="0">
                  <c:v>Valant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Sheet3!$A$5:$A$20</c:f>
              <c:strCache>
                <c:ptCount val="1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</c:strCache>
            </c:strRef>
          </c:cat>
          <c:val>
            <c:numRef>
              <c:f>Sheet3!$C$5:$C$20</c:f>
              <c:numCache>
                <c:formatCode>General</c:formatCode>
                <c:ptCount val="15"/>
                <c:pt idx="0">
                  <c:v>8160</c:v>
                </c:pt>
                <c:pt idx="1">
                  <c:v>15444.457967437565</c:v>
                </c:pt>
                <c:pt idx="2">
                  <c:v>25328.152449042562</c:v>
                </c:pt>
                <c:pt idx="3">
                  <c:v>32085.005953799933</c:v>
                </c:pt>
                <c:pt idx="4">
                  <c:v>32634.98493171599</c:v>
                </c:pt>
                <c:pt idx="5">
                  <c:v>25852.632328362379</c:v>
                </c:pt>
                <c:pt idx="6">
                  <c:v>19758.117394414676</c:v>
                </c:pt>
                <c:pt idx="7">
                  <c:v>14952.258883413575</c:v>
                </c:pt>
                <c:pt idx="8">
                  <c:v>11428.258221029406</c:v>
                </c:pt>
                <c:pt idx="9">
                  <c:v>8957.4111267020817</c:v>
                </c:pt>
                <c:pt idx="10">
                  <c:v>7275.3086030896247</c:v>
                </c:pt>
                <c:pt idx="11">
                  <c:v>6153.2010666632614</c:v>
                </c:pt>
                <c:pt idx="12">
                  <c:v>5415.4271592134082</c:v>
                </c:pt>
                <c:pt idx="13">
                  <c:v>4935.4646772277965</c:v>
                </c:pt>
                <c:pt idx="14">
                  <c:v>4625.6834166145563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2A-4739-827A-D1ECF5B0D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823144"/>
        <c:axId val="560826424"/>
      </c:lineChart>
      <c:catAx>
        <c:axId val="56082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826424"/>
        <c:crosses val="autoZero"/>
        <c:auto val="1"/>
        <c:lblAlgn val="ctr"/>
        <c:lblOffset val="100"/>
        <c:noMultiLvlLbl val="0"/>
      </c:catAx>
      <c:valAx>
        <c:axId val="56082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823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754637</xdr:colOff>
      <xdr:row>0</xdr:row>
      <xdr:rowOff>119638</xdr:rowOff>
    </xdr:from>
    <xdr:to>
      <xdr:col>9</xdr:col>
      <xdr:colOff>317243</xdr:colOff>
      <xdr:row>10</xdr:row>
      <xdr:rowOff>170844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754B18-3E2C-48C6-BF2D-E80B3D51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101" y="119638"/>
          <a:ext cx="3841954" cy="1891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266884</xdr:colOff>
      <xdr:row>1</xdr:row>
      <xdr:rowOff>87547</xdr:rowOff>
    </xdr:from>
    <xdr:to>
      <xdr:col>4</xdr:col>
      <xdr:colOff>547020</xdr:colOff>
      <xdr:row>10</xdr:row>
      <xdr:rowOff>4105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64899C-21D1-45D7-BBF0-AA635C28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884" y="271605"/>
          <a:ext cx="3657600" cy="1568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550526</xdr:colOff>
      <xdr:row>0</xdr:row>
      <xdr:rowOff>117515</xdr:rowOff>
    </xdr:from>
    <xdr:to>
      <xdr:col>15</xdr:col>
      <xdr:colOff>758717</xdr:colOff>
      <xdr:row>10</xdr:row>
      <xdr:rowOff>168721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B8EABA-C0E7-4795-A6C5-8BEFEF3FA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338" y="117515"/>
          <a:ext cx="5104133" cy="1891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502745</xdr:colOff>
      <xdr:row>37</xdr:row>
      <xdr:rowOff>169395</xdr:rowOff>
    </xdr:from>
    <xdr:to>
      <xdr:col>16</xdr:col>
      <xdr:colOff>734936</xdr:colOff>
      <xdr:row>52</xdr:row>
      <xdr:rowOff>169395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C7CBBEF-41AD-4B73-B8DA-732E65231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258267</xdr:colOff>
      <xdr:row>1</xdr:row>
      <xdr:rowOff>49320</xdr:rowOff>
    </xdr:from>
    <xdr:to>
      <xdr:col>29</xdr:col>
      <xdr:colOff>213301</xdr:colOff>
      <xdr:row>16</xdr:row>
      <xdr:rowOff>49319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31AA48-A3BD-4E7B-93D5-CD13C57EF0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685887</xdr:colOff>
      <xdr:row>39</xdr:row>
      <xdr:rowOff>133380</xdr:rowOff>
    </xdr:from>
    <xdr:to>
      <xdr:col>29</xdr:col>
      <xdr:colOff>165471</xdr:colOff>
      <xdr:row>54</xdr:row>
      <xdr:rowOff>133379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08CB5E-5D79-4F54-BE56-66CF1DA41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533400</xdr:colOff>
      <xdr:row>65</xdr:row>
      <xdr:rowOff>38100</xdr:rowOff>
    </xdr:from>
    <xdr:to>
      <xdr:col>24</xdr:col>
      <xdr:colOff>494145</xdr:colOff>
      <xdr:row>83</xdr:row>
      <xdr:rowOff>55217</xdr:rowOff>
    </xdr:to>
    <xdr:sp macro="" textlink="">
      <xdr:nvSpPr>
        <xdr:cNvPr id="9" name="Text Placeholder 2">
          <a:extLst>
            <a:ext uri="{FF2B5EF4-FFF2-40B4-BE49-F238E27FC236}">
              <a16:creationId xmlns:a16="http://schemas.microsoft.com/office/drawing/2014/main" id="{B359419D-8961-4428-A8A0-5CC28E32938D}"/>
            </a:ext>
          </a:extLst>
        </xdr:cNvPr>
        <xdr:cNvSpPr>
          <a:spLocks noGrp="1"/>
        </xdr:cNvSpPr>
      </xdr:nvSpPr>
      <xdr:spPr>
        <a:xfrm>
          <a:off x="12478762" y="12001868"/>
          <a:ext cx="10028716" cy="3330161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/>
            <a:buNone/>
            <a:defRPr sz="2000" kern="120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lvl1pPr>
          <a:lvl2pPr marL="4572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None/>
            <a:defRPr sz="2000" kern="1200">
              <a:solidFill>
                <a:schemeClr val="bg1">
                  <a:lumMod val="50000"/>
                </a:schemeClr>
              </a:solidFill>
              <a:latin typeface="GT Walsheim" charset="0"/>
              <a:ea typeface="GT Walsheim" charset="0"/>
              <a:cs typeface="GT Walsheim" charset="0"/>
            </a:defRPr>
          </a:lvl2pPr>
          <a:lvl3pPr marL="9144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None/>
            <a:defRPr sz="1800" kern="1200">
              <a:solidFill>
                <a:schemeClr val="bg1">
                  <a:lumMod val="50000"/>
                </a:schemeClr>
              </a:solidFill>
              <a:latin typeface="GT Walsheim" charset="0"/>
              <a:ea typeface="GT Walsheim" charset="0"/>
              <a:cs typeface="GT Walsheim" charset="0"/>
            </a:defRPr>
          </a:lvl3pPr>
          <a:lvl4pPr marL="13716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None/>
            <a:defRPr sz="1600" kern="1200">
              <a:solidFill>
                <a:schemeClr val="bg1">
                  <a:lumMod val="50000"/>
                </a:schemeClr>
              </a:solidFill>
              <a:latin typeface="GT Walsheim" charset="0"/>
              <a:ea typeface="GT Walsheim" charset="0"/>
              <a:cs typeface="GT Walsheim" charset="0"/>
            </a:defRPr>
          </a:lvl4pPr>
          <a:lvl5pPr marL="18288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None/>
            <a:defRPr sz="1600" kern="1200">
              <a:solidFill>
                <a:schemeClr val="bg1">
                  <a:lumMod val="50000"/>
                </a:schemeClr>
              </a:solidFill>
              <a:latin typeface="GT Walsheim" charset="0"/>
              <a:ea typeface="GT Walsheim" charset="0"/>
              <a:cs typeface="GT Walsheim" charset="0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buClr>
              <a:schemeClr val="tx1"/>
            </a:buClr>
          </a:pPr>
          <a:endParaRPr lang="en-US" b="1"/>
        </a:p>
      </xdr:txBody>
    </xdr:sp>
    <xdr:clientData/>
  </xdr:twoCellAnchor>
  <xdr:twoCellAnchor>
    <xdr:from>
      <xdr:col>18</xdr:col>
      <xdr:colOff>1441836</xdr:colOff>
      <xdr:row>93</xdr:row>
      <xdr:rowOff>177767</xdr:rowOff>
    </xdr:from>
    <xdr:to>
      <xdr:col>24</xdr:col>
      <xdr:colOff>557705</xdr:colOff>
      <xdr:row>110</xdr:row>
      <xdr:rowOff>82515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E988CF6-3165-41CB-85D2-4A6B1AF0C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322035</xdr:colOff>
      <xdr:row>130</xdr:row>
      <xdr:rowOff>102507</xdr:rowOff>
    </xdr:from>
    <xdr:to>
      <xdr:col>13</xdr:col>
      <xdr:colOff>467178</xdr:colOff>
      <xdr:row>145</xdr:row>
      <xdr:rowOff>124278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91929E9-7239-40C2-97E6-A6E9FDE8D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607158</xdr:colOff>
      <xdr:row>23</xdr:row>
      <xdr:rowOff>51206</xdr:rowOff>
    </xdr:from>
    <xdr:to>
      <xdr:col>5</xdr:col>
      <xdr:colOff>1360624</xdr:colOff>
      <xdr:row>38</xdr:row>
      <xdr:rowOff>51206</xdr:rowOff>
    </xdr:to>
    <xdr:graphicFrame macro="">
      <xdr:nvGraphicFramePr>
        <xdr:cNvPr id="2" name="Chart 1" descr="Total value/years">
          <a:extLst>
            <a:ext uri="{FF2B5EF4-FFF2-40B4-BE49-F238E27FC236}">
              <a16:creationId xmlns:a16="http://schemas.microsoft.com/office/drawing/2014/main" id="{9DD226AF-A360-466D-BDFB-1E158C824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iva Romka" refreshedDate="43779.482723148147" createdVersion="6" refreshedVersion="6" minRefreshableVersion="3" recordCount="38" xr:uid="{3E6E86C8-54CE-4DA6-AE8E-830C1C37E106}">
  <cacheSource type="worksheet">
    <worksheetSource ref="A62:R100" sheet="Sheet1"/>
  </cacheSource>
  <cacheFields count="18">
    <cacheField name="Tipas" numFmtId="0">
      <sharedItems containsBlank="1" count="3">
        <s v="Nevalant"/>
        <s v="Valant"/>
        <m u="1"/>
      </sharedItems>
    </cacheField>
    <cacheField name="METAI" numFmtId="0">
      <sharedItems containsSemiMixedTypes="0" containsString="0" containsNumber="1" containsInteger="1" minValue="0" maxValue="180" count="19">
        <n v="0"/>
        <n v="10"/>
        <n v="20"/>
        <n v="30"/>
        <n v="40"/>
        <n v="50"/>
        <n v="60"/>
        <n v="70"/>
        <n v="80"/>
        <n v="90"/>
        <n v="100"/>
        <n v="110"/>
        <n v="120"/>
        <n v="130"/>
        <n v="140"/>
        <n v="150"/>
        <n v="160"/>
        <n v="170"/>
        <n v="180"/>
      </sharedItems>
    </cacheField>
    <cacheField name="METAI T" numFmtId="0">
      <sharedItems containsBlank="1" count="20">
        <s v="T+0"/>
        <s v="T+10"/>
        <s v="T+20"/>
        <s v="T+30"/>
        <s v="T+40"/>
        <s v="T+50"/>
        <s v="T+60"/>
        <s v="T+70"/>
        <s v="T+80"/>
        <s v="T+90"/>
        <s v="T+100"/>
        <s v="T+110"/>
        <s v="T+120"/>
        <s v="T+130"/>
        <s v="T+140"/>
        <s v="T+150"/>
        <s v="T+160"/>
        <s v="T+170"/>
        <s v="T+180"/>
        <m u="1"/>
      </sharedItems>
    </cacheField>
    <cacheField name="Akrų skaičius" numFmtId="0">
      <sharedItems containsSemiMixedTypes="0" containsString="0" containsNumber="1" containsInteger="1" minValue="40" maxValue="40"/>
    </cacheField>
    <cacheField name="Medžių skaičius" numFmtId="0">
      <sharedItems containsSemiMixedTypes="0" containsString="0" containsNumber="1" containsInteger="1" minValue="30" maxValue="60"/>
    </cacheField>
    <cacheField name="Viso" numFmtId="0">
      <sharedItems containsSemiMixedTypes="0" containsString="0" containsNumber="1" containsInteger="1" minValue="1200" maxValue="2400"/>
    </cacheField>
    <cacheField name="4kat" numFmtId="0">
      <sharedItems containsSemiMixedTypes="0" containsString="0" containsNumber="1" minValue="7.8643199999999662E-12" maxValue="60"/>
    </cacheField>
    <cacheField name="3Kat" numFmtId="0">
      <sharedItems containsString="0" containsBlank="1" containsNumber="1" minValue="0" maxValue="36"/>
    </cacheField>
    <cacheField name="2Kat" numFmtId="0">
      <sharedItems containsString="0" containsBlank="1" containsNumber="1" minValue="0" maxValue="27.18"/>
    </cacheField>
    <cacheField name="1Kat" numFmtId="0">
      <sharedItems containsString="0" containsBlank="1" containsNumber="1" minValue="0" maxValue="38.060063999999997"/>
    </cacheField>
    <cacheField name="VEENER" numFmtId="0">
      <sharedItems containsString="0" containsBlank="1" containsNumber="1" minValue="0" maxValue="28.486819164284579"/>
    </cacheField>
    <cacheField name="Vidutinis Storis ties krūtine" numFmtId="0">
      <sharedItems containsSemiMixedTypes="0" containsString="0" containsNumber="1" containsInteger="1" minValue="13" maxValue="21"/>
    </cacheField>
    <cacheField name="Iš medžio gaunama mediena" numFmtId="0">
      <sharedItems containsSemiMixedTypes="0" containsString="0" containsNumber="1" containsInteger="1" minValue="85" maxValue="385"/>
    </cacheField>
    <cacheField name="tuscia " numFmtId="0">
      <sharedItems containsNonDate="0" containsString="0" containsBlank="1"/>
    </cacheField>
    <cacheField name="tuscia" numFmtId="0">
      <sharedItems containsString="0" containsBlank="1" containsNumber="1" containsInteger="1" minValue="40" maxValue="40"/>
    </cacheField>
    <cacheField name="SUMA" numFmtId="0">
      <sharedItems containsSemiMixedTypes="0" containsString="0" containsNumber="1" minValue="8160" maxValue="489243.60637151991"/>
    </cacheField>
    <cacheField name="Suma įvertinus kainų kilimą" numFmtId="0">
      <sharedItems containsSemiMixedTypes="0" containsString="0" containsNumber="1" minValue="8160" maxValue="3188592288.410152"/>
    </cacheField>
    <cacheField name="SUMA po diskontavimo" numFmtId="0">
      <sharedItems containsSemiMixedTypes="0" containsString="0" containsNumber="1" minValue="112.95765372356662" maxValue="32634.984931715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x v="0"/>
    <x v="0"/>
    <n v="40"/>
    <n v="60"/>
    <n v="2400"/>
    <n v="60"/>
    <m/>
    <m/>
    <m/>
    <m/>
    <n v="13"/>
    <n v="85"/>
    <m/>
    <n v="40"/>
    <n v="8160"/>
    <n v="8160"/>
    <n v="8160"/>
  </r>
  <r>
    <x v="0"/>
    <x v="1"/>
    <x v="1"/>
    <n v="40"/>
    <n v="60"/>
    <n v="2400"/>
    <n v="60"/>
    <n v="0"/>
    <m/>
    <m/>
    <m/>
    <n v="14"/>
    <n v="110"/>
    <m/>
    <m/>
    <n v="10560"/>
    <n v="17201.127258769782"/>
    <n v="6631.7791852420814"/>
  </r>
  <r>
    <x v="0"/>
    <x v="2"/>
    <x v="2"/>
    <n v="40"/>
    <n v="60"/>
    <n v="2400"/>
    <n v="24"/>
    <n v="36"/>
    <n v="0"/>
    <n v="0"/>
    <n v="0"/>
    <n v="15"/>
    <n v="145"/>
    <m/>
    <m/>
    <n v="30624"/>
    <n v="81254.588922342751"/>
    <n v="12077.976891027405"/>
  </r>
  <r>
    <x v="0"/>
    <x v="3"/>
    <x v="3"/>
    <n v="40"/>
    <n v="60"/>
    <n v="2400"/>
    <n v="24"/>
    <n v="36"/>
    <n v="0"/>
    <n v="0"/>
    <n v="0"/>
    <n v="16"/>
    <n v="180"/>
    <m/>
    <m/>
    <n v="38016"/>
    <n v="164302.96133372758"/>
    <n v="9415.9650171336652"/>
  </r>
  <r>
    <x v="0"/>
    <x v="4"/>
    <x v="4"/>
    <n v="40"/>
    <n v="60"/>
    <n v="2400"/>
    <n v="9.6000000000000014"/>
    <n v="32.4"/>
    <n v="18"/>
    <n v="0"/>
    <n v="0"/>
    <n v="17"/>
    <n v="230"/>
    <m/>
    <m/>
    <n v="82358.399999999994"/>
    <n v="579802.20634864666"/>
    <n v="12810.688091748752"/>
  </r>
  <r>
    <x v="0"/>
    <x v="5"/>
    <x v="5"/>
    <n v="40"/>
    <n v="60"/>
    <n v="2400"/>
    <n v="9.6000000000000014"/>
    <n v="32.4"/>
    <n v="18"/>
    <n v="0"/>
    <n v="0"/>
    <n v="18"/>
    <n v="280"/>
    <m/>
    <m/>
    <n v="100262.39999999999"/>
    <n v="1149749.0242791502"/>
    <n v="9794.1960218777349"/>
  </r>
  <r>
    <x v="0"/>
    <x v="6"/>
    <x v="6"/>
    <n v="40"/>
    <n v="60"/>
    <n v="2400"/>
    <n v="3.8400000000000007"/>
    <n v="21.96"/>
    <n v="27"/>
    <n v="7.2"/>
    <n v="0"/>
    <n v="14"/>
    <n v="110"/>
    <m/>
    <m/>
    <n v="57256.319999999992"/>
    <n v="1069501.4448933902"/>
    <n v="3512.5318114555917"/>
  </r>
  <r>
    <x v="0"/>
    <x v="7"/>
    <x v="7"/>
    <n v="40"/>
    <n v="60"/>
    <n v="2400"/>
    <n v="3.8400000000000007"/>
    <n v="21.96"/>
    <n v="27"/>
    <n v="7.2"/>
    <n v="0"/>
    <n v="15"/>
    <n v="145"/>
    <m/>
    <m/>
    <n v="75474.239999999991"/>
    <n v="2296411.3432095023"/>
    <n v="2907.7811866677162"/>
  </r>
  <r>
    <x v="0"/>
    <x v="8"/>
    <x v="8"/>
    <n v="40"/>
    <n v="60"/>
    <n v="2400"/>
    <n v="1.5360000000000005"/>
    <n v="13.284000000000001"/>
    <n v="27.18"/>
    <n v="17.28"/>
    <n v="0.72000000000000008"/>
    <n v="16"/>
    <n v="180"/>
    <m/>
    <m/>
    <n v="122546.30399999997"/>
    <n v="6073571.4236553628"/>
    <n v="2965.0316282965418"/>
  </r>
  <r>
    <x v="0"/>
    <x v="9"/>
    <x v="9"/>
    <n v="40"/>
    <n v="60"/>
    <n v="2400"/>
    <n v="1.5360000000000005"/>
    <n v="13.284000000000001"/>
    <n v="27.18"/>
    <n v="17.28"/>
    <n v="0.72000000000000008"/>
    <n v="17"/>
    <n v="230"/>
    <m/>
    <m/>
    <n v="156586.94399999999"/>
    <n v="12641321.151047137"/>
    <n v="2379.3087427966816"/>
  </r>
  <r>
    <x v="0"/>
    <x v="10"/>
    <x v="10"/>
    <n v="40"/>
    <n v="60"/>
    <n v="2400"/>
    <n v="0.61440000000000028"/>
    <n v="7.563600000000001"/>
    <n v="22.95"/>
    <n v="26.423999999999999"/>
    <n v="2.4480000000000004"/>
    <n v="18"/>
    <n v="280"/>
    <m/>
    <m/>
    <n v="232136.21760000003"/>
    <n v="30526204.606083248"/>
    <n v="2215.1558909955329"/>
  </r>
  <r>
    <x v="0"/>
    <x v="11"/>
    <x v="11"/>
    <n v="40"/>
    <n v="60"/>
    <n v="2400"/>
    <n v="0.61440000000000028"/>
    <n v="7.563600000000001"/>
    <n v="22.95"/>
    <n v="26.423999999999999"/>
    <n v="2.4480000000000004"/>
    <n v="19"/>
    <n v="315"/>
    <m/>
    <m/>
    <n v="261153.24480000004"/>
    <n v="55939466.991102517"/>
    <n v="1565.0310436758402"/>
  </r>
  <r>
    <x v="0"/>
    <x v="12"/>
    <x v="12"/>
    <n v="40"/>
    <n v="60"/>
    <n v="2400"/>
    <n v="0.24576000000000012"/>
    <n v="4.1504400000000006"/>
    <n v="17.5518"/>
    <n v="32.961600000000004"/>
    <n v="5.0904000000000007"/>
    <n v="20"/>
    <n v="350"/>
    <m/>
    <m/>
    <n v="336569.11679999996"/>
    <n v="117432998.85694449"/>
    <n v="1266.6829723820774"/>
  </r>
  <r>
    <x v="0"/>
    <x v="13"/>
    <x v="13"/>
    <n v="40"/>
    <n v="60"/>
    <n v="2400"/>
    <n v="0.24576000000000012"/>
    <n v="4.1504400000000006"/>
    <n v="17.5518"/>
    <n v="32.961600000000004"/>
    <n v="5.0904000000000007"/>
    <n v="21"/>
    <n v="385"/>
    <m/>
    <m/>
    <n v="370226.02848000004"/>
    <n v="210414578.92888221"/>
    <n v="875.03768443167019"/>
  </r>
  <r>
    <x v="0"/>
    <x v="14"/>
    <x v="14"/>
    <n v="40"/>
    <n v="60"/>
    <n v="2400"/>
    <n v="9.8304000000000058E-2"/>
    <n v="2.2226760000000003"/>
    <n v="12.606299999999999"/>
    <n v="36.686160000000001"/>
    <n v="8.3865600000000011"/>
    <n v="21"/>
    <n v="385"/>
    <m/>
    <m/>
    <n v="415188.24547200004"/>
    <n v="384367730.42598212"/>
    <n v="616.26995799288352"/>
  </r>
  <r>
    <x v="0"/>
    <x v="15"/>
    <x v="15"/>
    <n v="40"/>
    <n v="60"/>
    <n v="2400"/>
    <n v="9.8304000000000058E-2"/>
    <n v="2.2226760000000003"/>
    <n v="12.606299999999999"/>
    <n v="36.686160000000001"/>
    <n v="8.3865600000000011"/>
    <n v="21"/>
    <n v="385"/>
    <m/>
    <m/>
    <n v="415188.24547200004"/>
    <n v="626094530.79752243"/>
    <n v="387.02332196091066"/>
  </r>
  <r>
    <x v="0"/>
    <x v="16"/>
    <x v="16"/>
    <n v="40"/>
    <n v="60"/>
    <n v="2400"/>
    <n v="3.9321600000000026E-2"/>
    <n v="1.1703204000000003"/>
    <n v="8.6751179999999994"/>
    <n v="38.060063999999997"/>
    <n v="12.055176000000001"/>
    <n v="21"/>
    <n v="385"/>
    <m/>
    <m/>
    <n v="454621.77055679995"/>
    <n v="1116704021.7188075"/>
    <n v="266.13895966973575"/>
  </r>
  <r>
    <x v="0"/>
    <x v="17"/>
    <x v="17"/>
    <n v="40"/>
    <n v="60"/>
    <n v="2400"/>
    <n v="3.9321600000000026E-2"/>
    <n v="1.1703204000000003"/>
    <n v="8.6751179999999994"/>
    <n v="38.060063999999997"/>
    <n v="12.055176000000001"/>
    <n v="21"/>
    <n v="385"/>
    <m/>
    <m/>
    <n v="454621.77055679995"/>
    <n v="1818993180.678525"/>
    <n v="167.13776639391438"/>
  </r>
  <r>
    <x v="0"/>
    <x v="18"/>
    <x v="18"/>
    <n v="40"/>
    <n v="60"/>
    <n v="2400"/>
    <n v="1.5728640000000012E-2"/>
    <n v="0.60875316000000013"/>
    <n v="5.7902309999999995"/>
    <n v="37.724104799999992"/>
    <n v="15.861182400000001"/>
    <n v="21"/>
    <n v="385"/>
    <m/>
    <m/>
    <n v="489243.60637151991"/>
    <n v="3188592288.410152"/>
    <n v="112.95765372356662"/>
  </r>
  <r>
    <x v="1"/>
    <x v="0"/>
    <x v="0"/>
    <n v="40"/>
    <n v="60"/>
    <n v="2400"/>
    <n v="60"/>
    <m/>
    <m/>
    <m/>
    <m/>
    <n v="13"/>
    <n v="85"/>
    <m/>
    <n v="40"/>
    <n v="8160"/>
    <n v="8160"/>
    <n v="8160"/>
  </r>
  <r>
    <x v="1"/>
    <x v="1"/>
    <x v="1"/>
    <n v="40"/>
    <n v="30"/>
    <n v="1200"/>
    <n v="5.9999999999999982"/>
    <n v="24"/>
    <m/>
    <m/>
    <m/>
    <n v="15"/>
    <n v="145"/>
    <m/>
    <m/>
    <n v="22176"/>
    <n v="33556.477166164579"/>
    <n v="15444.457967437565"/>
  </r>
  <r>
    <x v="1"/>
    <x v="2"/>
    <x v="2"/>
    <n v="40"/>
    <n v="30"/>
    <n v="1200"/>
    <n v="1.1999999999999993"/>
    <n v="12"/>
    <n v="16.799999999999997"/>
    <n v="0"/>
    <n v="0"/>
    <n v="17"/>
    <n v="230"/>
    <m/>
    <m/>
    <n v="57955.199999999983"/>
    <n v="147026.94452419665"/>
    <n v="25328.152449042562"/>
  </r>
  <r>
    <x v="1"/>
    <x v="3"/>
    <x v="3"/>
    <n v="40"/>
    <n v="30"/>
    <n v="1200"/>
    <n v="0.2399999999999998"/>
    <n v="4.5600000000000005"/>
    <n v="15.119999999999997"/>
    <n v="10.079999999999998"/>
    <n v="0"/>
    <n v="19"/>
    <n v="315"/>
    <m/>
    <m/>
    <n v="117147.35999999999"/>
    <n v="492750.61443041492"/>
    <n v="32085.005953799933"/>
  </r>
  <r>
    <x v="1"/>
    <x v="4"/>
    <x v="4"/>
    <n v="40"/>
    <n v="30"/>
    <n v="1200"/>
    <n v="4.7999999999999945E-2"/>
    <n v="1.56"/>
    <n v="9.2399999999999984"/>
    <n v="17.135999999999996"/>
    <n v="2.0159999999999996"/>
    <n v="21"/>
    <n v="385"/>
    <m/>
    <m/>
    <n v="187656.62399999998"/>
    <n v="1296457.3607699508"/>
    <n v="32634.98493171599"/>
  </r>
  <r>
    <x v="1"/>
    <x v="5"/>
    <x v="5"/>
    <n v="40"/>
    <n v="30"/>
    <n v="1200"/>
    <n v="9.599999999999987E-3"/>
    <n v="0.50640000000000007"/>
    <n v="4.7879999999999994"/>
    <n v="19.252799999999993"/>
    <n v="5.4431999999999992"/>
    <n v="21"/>
    <n v="385"/>
    <m/>
    <m/>
    <n v="226964.69279999993"/>
    <n v="2559987.8784624948"/>
    <n v="25852.632328362379"/>
  </r>
  <r>
    <x v="1"/>
    <x v="6"/>
    <x v="6"/>
    <n v="40"/>
    <n v="30"/>
    <n v="1200"/>
    <n v="1.919999999999997E-3"/>
    <n v="0.15960000000000005"/>
    <n v="2.2696799999999997"/>
    <n v="18.275039999999994"/>
    <n v="9.2937599999999989"/>
    <n v="21"/>
    <n v="385"/>
    <m/>
    <m/>
    <n v="259642.47023999994"/>
    <n v="4777778.8891742257"/>
    <n v="19758.117394414676"/>
  </r>
  <r>
    <x v="1"/>
    <x v="7"/>
    <x v="7"/>
    <n v="40"/>
    <n v="30"/>
    <n v="1200"/>
    <n v="3.839999999999993E-4"/>
    <n v="4.9416000000000015E-2"/>
    <n v="1.0195919999999998"/>
    <n v="15.981839999999995"/>
    <n v="12.948767999999998"/>
    <n v="21"/>
    <n v="385"/>
    <m/>
    <m/>
    <n v="286279.87118399993"/>
    <n v="8590413.3667115811"/>
    <n v="14952.258883413575"/>
  </r>
  <r>
    <x v="1"/>
    <x v="8"/>
    <x v="8"/>
    <n v="40"/>
    <n v="30"/>
    <n v="1200"/>
    <n v="7.6799999999999847E-5"/>
    <n v="1.5132000000000005E-2"/>
    <n v="0.44242799999999993"/>
    <n v="13.397227199999996"/>
    <n v="16.145135999999997"/>
    <n v="21"/>
    <n v="385"/>
    <m/>
    <m/>
    <n v="307787.34572639992"/>
    <n v="15056253.716786128"/>
    <n v="11428.258221029406"/>
  </r>
  <r>
    <x v="1"/>
    <x v="9"/>
    <x v="9"/>
    <n v="40"/>
    <n v="30"/>
    <n v="1200"/>
    <n v="1.5359999999999965E-5"/>
    <n v="4.6010400000000024E-3"/>
    <n v="0.1875636"/>
    <n v="10.983238559999997"/>
    <n v="18.824581439999996"/>
    <n v="21"/>
    <n v="385"/>
    <m/>
    <m/>
    <n v="325071.92896847997"/>
    <n v="25917875.603448693"/>
    <n v="8957.4111267020817"/>
  </r>
  <r>
    <x v="1"/>
    <x v="10"/>
    <x v="10"/>
    <n v="40"/>
    <n v="30"/>
    <n v="1200"/>
    <n v="3.0719999999999924E-6"/>
    <n v="1.392600000000001E-3"/>
    <n v="7.8246168000000005E-2"/>
    <n v="8.8991290079999974"/>
    <n v="21.021229151999997"/>
    <n v="21"/>
    <n v="385"/>
    <m/>
    <m/>
    <n v="338930.85912062391"/>
    <n v="44037389.165277451"/>
    <n v="7275.3086030896247"/>
  </r>
  <r>
    <x v="1"/>
    <x v="11"/>
    <x v="11"/>
    <n v="40"/>
    <n v="30"/>
    <n v="1200"/>
    <n v="6.143999999999983E-7"/>
    <n v="4.2023760000000032E-4"/>
    <n v="3.2273287200000007E-2"/>
    <n v="7.1662509071999976"/>
    <n v="22.801054953599994"/>
    <n v="21"/>
    <n v="385"/>
    <m/>
    <m/>
    <n v="350030.4447977423"/>
    <n v="74107250.734643444"/>
    <n v="6153.2010666632614"/>
  </r>
  <r>
    <x v="1"/>
    <x v="12"/>
    <x v="12"/>
    <n v="40"/>
    <n v="30"/>
    <n v="1200"/>
    <n v="1.2287999999999963E-7"/>
    <n v="1.265628000000001E-4"/>
    <n v="1.3203481200000004E-2"/>
    <n v="5.7523646980799983"/>
    <n v="24.234305135039993"/>
    <n v="21"/>
    <n v="385"/>
    <m/>
    <m/>
    <n v="358915.06870069087"/>
    <n v="123810288.40471616"/>
    <n v="5415.4271592134082"/>
  </r>
  <r>
    <x v="1"/>
    <x v="13"/>
    <x v="13"/>
    <n v="40"/>
    <n v="30"/>
    <n v="1200"/>
    <n v="2.4575999999999922E-8"/>
    <n v="3.8067144000000034E-5"/>
    <n v="5.3699864400000019E-3"/>
    <n v="4.6098138471839984"/>
    <n v="25.384778074655991"/>
    <n v="21"/>
    <n v="385"/>
    <m/>
    <m/>
    <n v="366024.74316917703"/>
    <n v="205712066.12442493"/>
    <n v="4935.4646772277965"/>
  </r>
  <r>
    <x v="1"/>
    <x v="14"/>
    <x v="14"/>
    <n v="40"/>
    <n v="30"/>
    <n v="1200"/>
    <n v="4.9151999999999832E-9"/>
    <n v="1.1439804000000011E-5"/>
    <n v="2.1746415768000012E-3"/>
    <n v="3.6910730696111993"/>
    <n v="26.30674084409279"/>
    <n v="21"/>
    <n v="385"/>
    <m/>
    <m/>
    <n v="371713.27075888409"/>
    <n v="340346966.51411843"/>
    <n v="4625.6834166145563"/>
  </r>
  <r>
    <x v="1"/>
    <x v="15"/>
    <x v="15"/>
    <n v="40"/>
    <n v="30"/>
    <n v="1200"/>
    <n v="9.8303999999999643E-10"/>
    <n v="3.4358733600000037E-6"/>
    <n v="8.7786449352000059E-4"/>
    <n v="2.9541632406350393"/>
    <n v="27.044955458015028"/>
    <n v="21"/>
    <n v="385"/>
    <m/>
    <m/>
    <n v="376264.4073827531"/>
    <n v="561249790.71502936"/>
    <n v="4426.9367143657255"/>
  </r>
  <r>
    <x v="1"/>
    <x v="16"/>
    <x v="16"/>
    <n v="40"/>
    <n v="30"/>
    <n v="1200"/>
    <n v="1.9660799999999924E-10"/>
    <n v="1.0315484400000012E-6"/>
    <n v="3.535509087600003E-4"/>
    <n v="2.3638573112041437"/>
    <n v="27.635788106142037"/>
    <n v="21"/>
    <n v="385"/>
    <m/>
    <m/>
    <n v="379905.44230316964"/>
    <n v="923157809.24219453"/>
    <n v="4300.0110041133348"/>
  </r>
  <r>
    <x v="1"/>
    <x v="17"/>
    <x v="17"/>
    <n v="40"/>
    <n v="30"/>
    <n v="1200"/>
    <n v="3.9321599999999838E-11"/>
    <n v="3.0962181840000042E-7"/>
    <n v="1.4214244741200013E-4"/>
    <n v="1.8912979795085711"/>
    <n v="28.108559568382866"/>
    <n v="21"/>
    <n v="385"/>
    <m/>
    <m/>
    <n v="382818.3204275032"/>
    <n v="1515378984.4519048"/>
    <n v="4219.2398715233257"/>
  </r>
  <r>
    <x v="1"/>
    <x v="18"/>
    <x v="18"/>
    <n v="40"/>
    <n v="30"/>
    <n v="1200"/>
    <n v="7.8643199999999662E-12"/>
    <n v="9.2918002800000138E-8"/>
    <n v="5.7073714237680054E-5"/>
    <n v="1.5131236690753043"/>
    <n v="28.486819164284579"/>
    <n v="21"/>
    <n v="385"/>
    <m/>
    <m/>
    <n v="385148.64298387745"/>
    <n v="2483577744.6308179"/>
    <n v="4167.98197719602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732605-20CB-4EB9-9F49-25C244D9E49A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 chartFormat="11">
  <location ref="A3:D20" firstHeaderRow="1" firstDataRow="2" firstDataCol="1" rowPageCount="1" colPageCount="1"/>
  <pivotFields count="18">
    <pivotField axis="axisCol" compact="0" outline="0" showAll="0" defaultSubtotal="0">
      <items count="3">
        <item x="0"/>
        <item x="1"/>
        <item h="1"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h="1" x="15"/>
        <item h="1" x="16"/>
        <item h="1" x="17"/>
        <item h="1"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>
      <items count="21">
        <item x="0"/>
        <item x="1"/>
        <item x="10"/>
        <item x="11"/>
        <item x="12"/>
        <item x="13"/>
        <item x="14"/>
        <item x="15"/>
        <item x="16"/>
        <item x="17"/>
        <item h="1" x="18"/>
        <item x="2"/>
        <item x="3"/>
        <item x="4"/>
        <item x="5"/>
        <item x="6"/>
        <item x="7"/>
        <item x="8"/>
        <item x="9"/>
        <item h="1" m="1" x="1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3">
    <i>
      <x/>
    </i>
    <i>
      <x v="1"/>
    </i>
    <i t="grand">
      <x/>
    </i>
  </colItems>
  <pageFields count="1">
    <pageField fld="2" hier="-1"/>
  </pageFields>
  <dataFields count="1">
    <dataField name="Sum of SUMA po diskontavimo" fld="17" baseField="0" baseItem="0"/>
  </dataFields>
  <chartFormats count="4">
    <chartFormat chart="10" format="54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10" format="55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10" format="5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5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AA140"/>
  <sheetViews>
    <sheetView tabSelected="1" topLeftCell="I37" zoomScale="70" zoomScaleNormal="70" workbookViewId="0">
      <selection activeCell="U90" sqref="U90"/>
    </sheetView>
  </sheetViews>
  <sheetFormatPr defaultRowHeight="14.5" x14ac:dyDescent="0.35"/>
  <cols>
    <col min="2" max="2" width="16.453125" customWidth="1"/>
    <col min="3" max="3" width="14.453125" customWidth="1"/>
    <col min="5" max="5" width="17.54296875" customWidth="1"/>
    <col min="7" max="7" width="13.26953125" customWidth="1"/>
    <col min="8" max="8" width="11.1796875" customWidth="1"/>
    <col min="9" max="9" width="10.54296875" customWidth="1"/>
    <col min="10" max="10" width="11" customWidth="1"/>
    <col min="11" max="11" width="15" customWidth="1"/>
    <col min="12" max="12" width="18" customWidth="1"/>
    <col min="16" max="16" width="22.36328125" customWidth="1"/>
    <col min="17" max="17" width="26.81640625" customWidth="1"/>
    <col min="18" max="18" width="11.90625" bestFit="1" customWidth="1"/>
    <col min="19" max="19" width="20.6328125" bestFit="1" customWidth="1"/>
    <col min="20" max="20" width="12.1796875" customWidth="1"/>
    <col min="22" max="22" width="16.36328125" customWidth="1"/>
    <col min="23" max="23" width="8.7265625" customWidth="1"/>
    <col min="24" max="24" width="15.08984375" customWidth="1"/>
    <col min="25" max="25" width="27.81640625" customWidth="1"/>
  </cols>
  <sheetData>
    <row r="14" spans="22:23" x14ac:dyDescent="0.35">
      <c r="W14" t="s">
        <v>40</v>
      </c>
    </row>
    <row r="15" spans="22:23" x14ac:dyDescent="0.35">
      <c r="V15" t="s">
        <v>41</v>
      </c>
      <c r="W15">
        <v>1</v>
      </c>
    </row>
    <row r="16" spans="22:23" x14ac:dyDescent="0.35">
      <c r="V16" t="s">
        <v>42</v>
      </c>
      <c r="W16">
        <v>2</v>
      </c>
    </row>
    <row r="23" spans="16:26" x14ac:dyDescent="0.35">
      <c r="P23" t="s">
        <v>38</v>
      </c>
      <c r="Q23" t="s">
        <v>0</v>
      </c>
      <c r="R23" t="s">
        <v>37</v>
      </c>
      <c r="V23" t="s">
        <v>44</v>
      </c>
      <c r="W23" t="s">
        <v>45</v>
      </c>
      <c r="X23" t="s">
        <v>46</v>
      </c>
      <c r="Y23" t="s">
        <v>48</v>
      </c>
      <c r="Z23" t="s">
        <v>47</v>
      </c>
    </row>
    <row r="24" spans="16:26" x14ac:dyDescent="0.35">
      <c r="P24">
        <v>10</v>
      </c>
      <c r="Q24">
        <v>0.5</v>
      </c>
      <c r="R24">
        <v>20</v>
      </c>
      <c r="V24" t="s">
        <v>43</v>
      </c>
      <c r="W24" s="1">
        <v>0.6</v>
      </c>
      <c r="X24" s="1">
        <v>0.5</v>
      </c>
      <c r="Y24" s="1">
        <v>0.4</v>
      </c>
      <c r="Z24" s="1">
        <v>0.1</v>
      </c>
    </row>
    <row r="25" spans="16:26" x14ac:dyDescent="0.35">
      <c r="P25">
        <v>11</v>
      </c>
      <c r="Q25">
        <v>0.75</v>
      </c>
      <c r="R25">
        <v>40</v>
      </c>
      <c r="V25" t="s">
        <v>42</v>
      </c>
      <c r="W25" s="1">
        <v>0.8</v>
      </c>
      <c r="X25" s="1">
        <v>0.7</v>
      </c>
      <c r="Y25" s="1">
        <v>0.6</v>
      </c>
      <c r="Z25" s="1">
        <v>0.2</v>
      </c>
    </row>
    <row r="26" spans="16:26" x14ac:dyDescent="0.35">
      <c r="P26">
        <v>12</v>
      </c>
      <c r="Q26">
        <v>1</v>
      </c>
      <c r="R26">
        <v>60</v>
      </c>
    </row>
    <row r="27" spans="16:26" x14ac:dyDescent="0.35">
      <c r="P27">
        <v>13</v>
      </c>
      <c r="Q27">
        <v>1.25</v>
      </c>
      <c r="R27">
        <v>85</v>
      </c>
      <c r="W27">
        <v>100</v>
      </c>
    </row>
    <row r="28" spans="16:26" x14ac:dyDescent="0.35">
      <c r="P28">
        <v>14</v>
      </c>
      <c r="Q28">
        <v>1.5</v>
      </c>
      <c r="R28">
        <v>110</v>
      </c>
    </row>
    <row r="29" spans="16:26" x14ac:dyDescent="0.35">
      <c r="P29">
        <v>15</v>
      </c>
      <c r="Q29">
        <v>1.75</v>
      </c>
      <c r="R29">
        <v>145</v>
      </c>
      <c r="V29" t="s">
        <v>39</v>
      </c>
      <c r="W29" t="s">
        <v>8</v>
      </c>
    </row>
    <row r="30" spans="16:26" x14ac:dyDescent="0.35">
      <c r="P30">
        <v>16</v>
      </c>
      <c r="Q30">
        <v>2</v>
      </c>
      <c r="R30">
        <v>180</v>
      </c>
      <c r="V30">
        <v>4</v>
      </c>
      <c r="W30">
        <v>40</v>
      </c>
    </row>
    <row r="31" spans="16:26" x14ac:dyDescent="0.35">
      <c r="P31">
        <v>17</v>
      </c>
      <c r="Q31">
        <v>2.25</v>
      </c>
      <c r="R31">
        <v>230</v>
      </c>
      <c r="V31">
        <v>3</v>
      </c>
      <c r="W31">
        <v>120</v>
      </c>
    </row>
    <row r="32" spans="16:26" x14ac:dyDescent="0.35">
      <c r="P32">
        <v>18</v>
      </c>
      <c r="Q32">
        <v>2.5</v>
      </c>
      <c r="R32">
        <v>280</v>
      </c>
      <c r="V32">
        <v>2</v>
      </c>
      <c r="W32">
        <v>260</v>
      </c>
    </row>
    <row r="33" spans="16:23" x14ac:dyDescent="0.35">
      <c r="P33">
        <v>19</v>
      </c>
      <c r="Q33">
        <v>2.5</v>
      </c>
      <c r="R33">
        <v>315</v>
      </c>
      <c r="V33">
        <v>1</v>
      </c>
      <c r="W33">
        <v>445</v>
      </c>
    </row>
    <row r="34" spans="16:23" x14ac:dyDescent="0.35">
      <c r="P34">
        <v>20</v>
      </c>
      <c r="Q34">
        <v>2.5</v>
      </c>
      <c r="R34">
        <v>350</v>
      </c>
      <c r="V34" t="s">
        <v>9</v>
      </c>
      <c r="W34">
        <v>845</v>
      </c>
    </row>
    <row r="35" spans="16:23" x14ac:dyDescent="0.35">
      <c r="P35">
        <v>21</v>
      </c>
      <c r="Q35">
        <v>2.5</v>
      </c>
      <c r="R35">
        <v>385</v>
      </c>
    </row>
    <row r="36" spans="16:23" x14ac:dyDescent="0.35">
      <c r="P36">
        <v>22</v>
      </c>
      <c r="Q36">
        <v>2.5</v>
      </c>
      <c r="R36">
        <v>430</v>
      </c>
    </row>
    <row r="50" spans="1:27" x14ac:dyDescent="0.35">
      <c r="T50" t="s">
        <v>33</v>
      </c>
      <c r="U50">
        <v>0.05</v>
      </c>
    </row>
    <row r="51" spans="1:27" x14ac:dyDescent="0.35">
      <c r="T51" t="s">
        <v>34</v>
      </c>
      <c r="U51">
        <v>0.1</v>
      </c>
    </row>
    <row r="57" spans="1:27" x14ac:dyDescent="0.35">
      <c r="D57">
        <f>+H65-I66</f>
        <v>36</v>
      </c>
    </row>
    <row r="58" spans="1:27" x14ac:dyDescent="0.35">
      <c r="F58">
        <f>18-7.2</f>
        <v>10.8</v>
      </c>
      <c r="H58">
        <f>18*0.4</f>
        <v>7.2</v>
      </c>
      <c r="M58" t="s">
        <v>10</v>
      </c>
    </row>
    <row r="59" spans="1:27" x14ac:dyDescent="0.35">
      <c r="D59">
        <f>+G65*0.6</f>
        <v>14.399999999999999</v>
      </c>
      <c r="F59">
        <f>+H65*0.5</f>
        <v>18</v>
      </c>
    </row>
    <row r="60" spans="1:27" x14ac:dyDescent="0.35">
      <c r="S60">
        <f>P64*(1.05)^10</f>
        <v>17201.127258769782</v>
      </c>
    </row>
    <row r="62" spans="1:27" x14ac:dyDescent="0.35">
      <c r="A62" t="s">
        <v>25</v>
      </c>
      <c r="B62" t="s">
        <v>26</v>
      </c>
      <c r="C62" t="s">
        <v>27</v>
      </c>
      <c r="D62" t="s">
        <v>12</v>
      </c>
      <c r="E62" t="s">
        <v>11</v>
      </c>
      <c r="F62" t="s">
        <v>13</v>
      </c>
      <c r="G62" t="s">
        <v>16</v>
      </c>
      <c r="H62" t="s">
        <v>17</v>
      </c>
      <c r="I62" t="s">
        <v>18</v>
      </c>
      <c r="J62" t="s">
        <v>19</v>
      </c>
      <c r="K62" t="s">
        <v>20</v>
      </c>
      <c r="L62" t="s">
        <v>22</v>
      </c>
      <c r="M62" t="s">
        <v>15</v>
      </c>
      <c r="N62" t="s">
        <v>28</v>
      </c>
      <c r="O62" t="s">
        <v>29</v>
      </c>
      <c r="P62" t="s">
        <v>21</v>
      </c>
      <c r="Q62" t="s">
        <v>32</v>
      </c>
      <c r="R62" t="s">
        <v>35</v>
      </c>
    </row>
    <row r="63" spans="1:27" x14ac:dyDescent="0.35">
      <c r="A63" t="s">
        <v>23</v>
      </c>
      <c r="B63">
        <v>0</v>
      </c>
      <c r="C63" t="s">
        <v>14</v>
      </c>
      <c r="D63">
        <v>40</v>
      </c>
      <c r="E63">
        <v>60</v>
      </c>
      <c r="F63">
        <f>+D63*E63</f>
        <v>2400</v>
      </c>
      <c r="G63">
        <v>60</v>
      </c>
      <c r="L63">
        <v>13</v>
      </c>
      <c r="M63">
        <f>VLOOKUP(L63,$P$22:$R$35,3,0)</f>
        <v>85</v>
      </c>
      <c r="O63">
        <v>40</v>
      </c>
      <c r="P63">
        <f>F63*M63*O63/1000</f>
        <v>8160</v>
      </c>
      <c r="Q63">
        <f>P63*(1+$U$50)^B63</f>
        <v>8160</v>
      </c>
      <c r="R63">
        <f>Q63/((1+$U$51)^B63)</f>
        <v>8160</v>
      </c>
      <c r="V63">
        <v>40</v>
      </c>
      <c r="W63">
        <v>30</v>
      </c>
      <c r="X63">
        <f>+V63*W63</f>
        <v>1200</v>
      </c>
      <c r="Y63">
        <f>AVERAGE(M61:M63)</f>
        <v>85</v>
      </c>
      <c r="Z63">
        <v>40</v>
      </c>
      <c r="AA63">
        <f>X63*Y63*Z63/1000</f>
        <v>4080</v>
      </c>
    </row>
    <row r="64" spans="1:27" x14ac:dyDescent="0.35">
      <c r="A64" t="s">
        <v>23</v>
      </c>
      <c r="B64">
        <v>10</v>
      </c>
      <c r="C64" t="str">
        <f>"T+"&amp;B64</f>
        <v>T+10</v>
      </c>
      <c r="D64">
        <v>40</v>
      </c>
      <c r="E64">
        <v>60</v>
      </c>
      <c r="F64">
        <f t="shared" ref="F63:F68" si="0">+D64*E64</f>
        <v>2400</v>
      </c>
      <c r="G64">
        <f>+G63</f>
        <v>60</v>
      </c>
      <c r="H64">
        <f>+H63</f>
        <v>0</v>
      </c>
      <c r="L64">
        <f>L63+1</f>
        <v>14</v>
      </c>
      <c r="M64">
        <f t="shared" ref="M63:M100" si="1">VLOOKUP(L64,$P$22:$R$35,3,0)</f>
        <v>110</v>
      </c>
      <c r="P64">
        <f>(G64*$W$30+H64*$W$31+I64*$W$32+J64*$W$33+K64*$W$34)/1000*M64*D64</f>
        <v>10560</v>
      </c>
      <c r="Q64">
        <f>P64*(1+$U$50)^B64</f>
        <v>17201.127258769782</v>
      </c>
      <c r="R64">
        <f>Q64/((1+$U$51)^B64)</f>
        <v>6631.7791852420814</v>
      </c>
      <c r="S64" s="4"/>
    </row>
    <row r="65" spans="1:25" x14ac:dyDescent="0.35">
      <c r="A65" t="s">
        <v>23</v>
      </c>
      <c r="B65">
        <v>20</v>
      </c>
      <c r="C65" t="str">
        <f t="shared" ref="C65:C81" si="2">"T+"&amp;B65</f>
        <v>T+20</v>
      </c>
      <c r="D65">
        <v>40</v>
      </c>
      <c r="E65">
        <v>60</v>
      </c>
      <c r="F65">
        <f t="shared" si="0"/>
        <v>2400</v>
      </c>
      <c r="G65">
        <f t="shared" ref="G65" si="3">G64*(1-$W$24)</f>
        <v>24</v>
      </c>
      <c r="H65">
        <f t="shared" ref="H65" si="4">+G64*$W$24+H64*(1-$X$24)</f>
        <v>36</v>
      </c>
      <c r="I65">
        <f t="shared" ref="I65" si="5">+H64*$X$24+I64*(1-$Y$24)</f>
        <v>0</v>
      </c>
      <c r="J65">
        <f t="shared" ref="J65" si="6">+I64*$Y$24+J64*(1-$Z$24)</f>
        <v>0</v>
      </c>
      <c r="K65">
        <f t="shared" ref="K65" si="7">+J64*$Z$24+K64</f>
        <v>0</v>
      </c>
      <c r="L65">
        <f>L64+1</f>
        <v>15</v>
      </c>
      <c r="M65">
        <f t="shared" si="1"/>
        <v>145</v>
      </c>
      <c r="P65">
        <f t="shared" ref="P65:P81" si="8">(G65*$W$30+H65*$W$31+I65*$W$32+J65*$W$33+K65*$W$34)/1000*M65*D65</f>
        <v>30624</v>
      </c>
      <c r="Q65">
        <f t="shared" ref="Q65:Q81" si="9">P65*(1+$U$50)^B65</f>
        <v>81254.588922342751</v>
      </c>
      <c r="R65">
        <f t="shared" ref="R65:R81" si="10">Q65/((1+$U$51)^B65)</f>
        <v>12077.976891027405</v>
      </c>
      <c r="S65" s="4"/>
    </row>
    <row r="66" spans="1:25" x14ac:dyDescent="0.35">
      <c r="A66" t="s">
        <v>23</v>
      </c>
      <c r="B66">
        <v>30</v>
      </c>
      <c r="C66" t="str">
        <f t="shared" si="2"/>
        <v>T+30</v>
      </c>
      <c r="D66">
        <v>40</v>
      </c>
      <c r="E66">
        <v>60</v>
      </c>
      <c r="F66">
        <f t="shared" si="0"/>
        <v>2400</v>
      </c>
      <c r="G66">
        <f>+G65</f>
        <v>24</v>
      </c>
      <c r="H66">
        <f t="shared" ref="H66:K66" si="11">+H65</f>
        <v>36</v>
      </c>
      <c r="I66">
        <f t="shared" si="11"/>
        <v>0</v>
      </c>
      <c r="J66">
        <f t="shared" si="11"/>
        <v>0</v>
      </c>
      <c r="K66">
        <f t="shared" si="11"/>
        <v>0</v>
      </c>
      <c r="L66">
        <f t="shared" ref="L66:L68" si="12">L65+1</f>
        <v>16</v>
      </c>
      <c r="M66">
        <f t="shared" si="1"/>
        <v>180</v>
      </c>
      <c r="P66">
        <f>(G66*$W$30+H66*$W$31+I66*$W$32+J66*$W$33+K66*$W$34)/1000*M66*D66</f>
        <v>38016</v>
      </c>
      <c r="Q66">
        <f t="shared" si="9"/>
        <v>164302.96133372758</v>
      </c>
      <c r="R66">
        <f t="shared" si="10"/>
        <v>9415.9650171336652</v>
      </c>
      <c r="S66" s="4"/>
    </row>
    <row r="67" spans="1:25" x14ac:dyDescent="0.35">
      <c r="A67" t="s">
        <v>23</v>
      </c>
      <c r="B67">
        <v>40</v>
      </c>
      <c r="C67" t="str">
        <f t="shared" si="2"/>
        <v>T+40</v>
      </c>
      <c r="D67">
        <v>40</v>
      </c>
      <c r="E67">
        <v>60</v>
      </c>
      <c r="F67">
        <f t="shared" si="0"/>
        <v>2400</v>
      </c>
      <c r="G67">
        <f t="shared" ref="G67:G75" si="13">G66*(1-$W$24)</f>
        <v>9.6000000000000014</v>
      </c>
      <c r="H67">
        <f t="shared" ref="H67:H75" si="14">+G66*$W$24+H66*(1-$X$24)</f>
        <v>32.4</v>
      </c>
      <c r="I67">
        <f t="shared" ref="I67:I75" si="15">+H66*$X$24+I66*(1-$Y$24)</f>
        <v>18</v>
      </c>
      <c r="J67">
        <f t="shared" ref="J67:J75" si="16">+I66*$Y$24+J66*(1-$Z$24)</f>
        <v>0</v>
      </c>
      <c r="K67">
        <f t="shared" ref="K67:K75" si="17">+J66*$Z$24+K66</f>
        <v>0</v>
      </c>
      <c r="L67">
        <f t="shared" si="12"/>
        <v>17</v>
      </c>
      <c r="M67">
        <f t="shared" si="1"/>
        <v>230</v>
      </c>
      <c r="P67">
        <f t="shared" si="8"/>
        <v>82358.399999999994</v>
      </c>
      <c r="Q67">
        <f t="shared" si="9"/>
        <v>579802.20634864666</v>
      </c>
      <c r="R67">
        <f t="shared" si="10"/>
        <v>12810.688091748752</v>
      </c>
      <c r="S67" s="4"/>
      <c r="X67" s="5" t="s">
        <v>51</v>
      </c>
      <c r="Y67" s="5"/>
    </row>
    <row r="68" spans="1:25" x14ac:dyDescent="0.35">
      <c r="A68" t="s">
        <v>23</v>
      </c>
      <c r="B68">
        <v>50</v>
      </c>
      <c r="C68" t="str">
        <f t="shared" si="2"/>
        <v>T+50</v>
      </c>
      <c r="D68">
        <v>40</v>
      </c>
      <c r="E68">
        <v>60</v>
      </c>
      <c r="F68">
        <f t="shared" si="0"/>
        <v>2400</v>
      </c>
      <c r="G68">
        <f>+G67</f>
        <v>9.6000000000000014</v>
      </c>
      <c r="H68">
        <f t="shared" ref="H68:K68" si="18">+H67</f>
        <v>32.4</v>
      </c>
      <c r="I68">
        <f t="shared" si="18"/>
        <v>18</v>
      </c>
      <c r="J68">
        <f t="shared" si="18"/>
        <v>0</v>
      </c>
      <c r="K68">
        <f t="shared" si="18"/>
        <v>0</v>
      </c>
      <c r="L68">
        <f t="shared" si="12"/>
        <v>18</v>
      </c>
      <c r="M68">
        <f t="shared" si="1"/>
        <v>280</v>
      </c>
      <c r="P68">
        <f t="shared" si="8"/>
        <v>100262.39999999999</v>
      </c>
      <c r="Q68">
        <f t="shared" si="9"/>
        <v>1149749.0242791502</v>
      </c>
      <c r="R68">
        <f t="shared" si="10"/>
        <v>9794.1960218777349</v>
      </c>
      <c r="S68" s="4"/>
      <c r="X68" t="s">
        <v>50</v>
      </c>
      <c r="Y68" t="s">
        <v>49</v>
      </c>
    </row>
    <row r="69" spans="1:25" x14ac:dyDescent="0.35">
      <c r="A69" t="s">
        <v>23</v>
      </c>
      <c r="B69">
        <v>60</v>
      </c>
      <c r="C69" t="str">
        <f t="shared" si="2"/>
        <v>T+60</v>
      </c>
      <c r="D69">
        <v>40</v>
      </c>
      <c r="E69">
        <v>60</v>
      </c>
      <c r="F69">
        <f t="shared" ref="F69:F76" si="19">+D69*E69</f>
        <v>2400</v>
      </c>
      <c r="G69">
        <f t="shared" si="13"/>
        <v>3.8400000000000007</v>
      </c>
      <c r="H69">
        <f t="shared" si="14"/>
        <v>21.96</v>
      </c>
      <c r="I69">
        <f t="shared" si="15"/>
        <v>27</v>
      </c>
      <c r="J69">
        <f t="shared" si="16"/>
        <v>7.2</v>
      </c>
      <c r="K69">
        <f t="shared" si="17"/>
        <v>0</v>
      </c>
      <c r="L69">
        <v>14</v>
      </c>
      <c r="M69">
        <f t="shared" si="1"/>
        <v>110</v>
      </c>
      <c r="P69">
        <f t="shared" si="8"/>
        <v>57256.319999999992</v>
      </c>
      <c r="Q69">
        <f>P69*(1+$U$50)^B69</f>
        <v>1069501.4448933902</v>
      </c>
      <c r="R69">
        <f t="shared" si="10"/>
        <v>3512.5318114555917</v>
      </c>
      <c r="S69" s="4"/>
      <c r="W69" t="s">
        <v>14</v>
      </c>
      <c r="X69">
        <v>8160</v>
      </c>
      <c r="Y69">
        <v>8160</v>
      </c>
    </row>
    <row r="70" spans="1:25" x14ac:dyDescent="0.35">
      <c r="A70" t="s">
        <v>23</v>
      </c>
      <c r="B70">
        <v>70</v>
      </c>
      <c r="C70" t="str">
        <f t="shared" si="2"/>
        <v>T+70</v>
      </c>
      <c r="D70">
        <v>40</v>
      </c>
      <c r="E70">
        <v>60</v>
      </c>
      <c r="F70">
        <f t="shared" si="19"/>
        <v>2400</v>
      </c>
      <c r="G70">
        <f>+G69</f>
        <v>3.8400000000000007</v>
      </c>
      <c r="H70">
        <f t="shared" ref="H70:K70" si="20">+H69</f>
        <v>21.96</v>
      </c>
      <c r="I70">
        <f t="shared" si="20"/>
        <v>27</v>
      </c>
      <c r="J70">
        <f t="shared" si="20"/>
        <v>7.2</v>
      </c>
      <c r="K70">
        <f t="shared" si="20"/>
        <v>0</v>
      </c>
      <c r="L70">
        <f t="shared" ref="L70:L76" si="21">L69+1</f>
        <v>15</v>
      </c>
      <c r="M70">
        <f t="shared" si="1"/>
        <v>145</v>
      </c>
      <c r="P70">
        <f t="shared" si="8"/>
        <v>75474.239999999991</v>
      </c>
      <c r="Q70">
        <f t="shared" si="9"/>
        <v>2296411.3432095023</v>
      </c>
      <c r="R70">
        <f t="shared" si="10"/>
        <v>2907.7811866677162</v>
      </c>
      <c r="S70" s="4"/>
      <c r="W70" t="s">
        <v>52</v>
      </c>
      <c r="X70">
        <v>10560</v>
      </c>
      <c r="Y70">
        <v>22176</v>
      </c>
    </row>
    <row r="71" spans="1:25" x14ac:dyDescent="0.35">
      <c r="A71" t="s">
        <v>23</v>
      </c>
      <c r="B71">
        <v>80</v>
      </c>
      <c r="C71" t="str">
        <f t="shared" si="2"/>
        <v>T+80</v>
      </c>
      <c r="D71">
        <v>40</v>
      </c>
      <c r="E71">
        <v>60</v>
      </c>
      <c r="F71">
        <f t="shared" si="19"/>
        <v>2400</v>
      </c>
      <c r="G71">
        <f t="shared" si="13"/>
        <v>1.5360000000000005</v>
      </c>
      <c r="H71">
        <f t="shared" si="14"/>
        <v>13.284000000000001</v>
      </c>
      <c r="I71">
        <f t="shared" si="15"/>
        <v>27.18</v>
      </c>
      <c r="J71">
        <f t="shared" si="16"/>
        <v>17.28</v>
      </c>
      <c r="K71">
        <f t="shared" si="17"/>
        <v>0.72000000000000008</v>
      </c>
      <c r="L71">
        <f t="shared" si="21"/>
        <v>16</v>
      </c>
      <c r="M71">
        <f t="shared" si="1"/>
        <v>180</v>
      </c>
      <c r="P71">
        <f t="shared" si="8"/>
        <v>122546.30399999997</v>
      </c>
      <c r="Q71">
        <f t="shared" si="9"/>
        <v>6073571.4236553628</v>
      </c>
      <c r="R71">
        <f t="shared" si="10"/>
        <v>2965.0316282965418</v>
      </c>
      <c r="S71" s="4"/>
      <c r="W71" t="s">
        <v>53</v>
      </c>
      <c r="X71">
        <v>30624</v>
      </c>
      <c r="Y71">
        <v>57955.199999999983</v>
      </c>
    </row>
    <row r="72" spans="1:25" x14ac:dyDescent="0.35">
      <c r="A72" t="s">
        <v>23</v>
      </c>
      <c r="B72">
        <v>90</v>
      </c>
      <c r="C72" t="str">
        <f t="shared" si="2"/>
        <v>T+90</v>
      </c>
      <c r="D72">
        <v>40</v>
      </c>
      <c r="E72">
        <v>60</v>
      </c>
      <c r="F72">
        <f t="shared" si="19"/>
        <v>2400</v>
      </c>
      <c r="G72">
        <f>+G71</f>
        <v>1.5360000000000005</v>
      </c>
      <c r="H72">
        <f t="shared" ref="H72:K72" si="22">+H71</f>
        <v>13.284000000000001</v>
      </c>
      <c r="I72">
        <f t="shared" si="22"/>
        <v>27.18</v>
      </c>
      <c r="J72">
        <f t="shared" si="22"/>
        <v>17.28</v>
      </c>
      <c r="K72">
        <f t="shared" si="22"/>
        <v>0.72000000000000008</v>
      </c>
      <c r="L72">
        <f t="shared" si="21"/>
        <v>17</v>
      </c>
      <c r="M72">
        <f t="shared" si="1"/>
        <v>230</v>
      </c>
      <c r="P72">
        <f t="shared" si="8"/>
        <v>156586.94399999999</v>
      </c>
      <c r="Q72">
        <f t="shared" si="9"/>
        <v>12641321.151047137</v>
      </c>
      <c r="R72">
        <f t="shared" si="10"/>
        <v>2379.3087427966816</v>
      </c>
      <c r="S72" s="4"/>
      <c r="W72" t="s">
        <v>54</v>
      </c>
      <c r="X72">
        <v>38016</v>
      </c>
      <c r="Y72">
        <v>117147.35999999999</v>
      </c>
    </row>
    <row r="73" spans="1:25" x14ac:dyDescent="0.35">
      <c r="A73" t="s">
        <v>23</v>
      </c>
      <c r="B73">
        <v>100</v>
      </c>
      <c r="C73" t="str">
        <f t="shared" si="2"/>
        <v>T+100</v>
      </c>
      <c r="D73">
        <v>40</v>
      </c>
      <c r="E73">
        <v>60</v>
      </c>
      <c r="F73">
        <f t="shared" si="19"/>
        <v>2400</v>
      </c>
      <c r="G73">
        <f t="shared" si="13"/>
        <v>0.61440000000000028</v>
      </c>
      <c r="H73">
        <f t="shared" si="14"/>
        <v>7.563600000000001</v>
      </c>
      <c r="I73">
        <f t="shared" si="15"/>
        <v>22.95</v>
      </c>
      <c r="J73">
        <f t="shared" si="16"/>
        <v>26.423999999999999</v>
      </c>
      <c r="K73">
        <f t="shared" si="17"/>
        <v>2.4480000000000004</v>
      </c>
      <c r="L73">
        <f t="shared" si="21"/>
        <v>18</v>
      </c>
      <c r="M73">
        <f t="shared" si="1"/>
        <v>280</v>
      </c>
      <c r="P73">
        <f t="shared" si="8"/>
        <v>232136.21760000003</v>
      </c>
      <c r="Q73">
        <f>P73*(1+$U$50)^B73</f>
        <v>30526204.606083248</v>
      </c>
      <c r="R73">
        <f t="shared" si="10"/>
        <v>2215.1558909955329</v>
      </c>
      <c r="S73" s="4"/>
      <c r="W73" t="s">
        <v>55</v>
      </c>
      <c r="X73">
        <v>82358.399999999994</v>
      </c>
      <c r="Y73">
        <v>187656.62399999998</v>
      </c>
    </row>
    <row r="74" spans="1:25" x14ac:dyDescent="0.35">
      <c r="A74" t="s">
        <v>23</v>
      </c>
      <c r="B74">
        <v>110</v>
      </c>
      <c r="C74" t="str">
        <f t="shared" si="2"/>
        <v>T+110</v>
      </c>
      <c r="D74">
        <v>40</v>
      </c>
      <c r="E74">
        <v>60</v>
      </c>
      <c r="F74">
        <f t="shared" si="19"/>
        <v>2400</v>
      </c>
      <c r="G74">
        <f>+G73</f>
        <v>0.61440000000000028</v>
      </c>
      <c r="H74">
        <f t="shared" ref="H74:K74" si="23">+H73</f>
        <v>7.563600000000001</v>
      </c>
      <c r="I74">
        <f t="shared" si="23"/>
        <v>22.95</v>
      </c>
      <c r="J74">
        <f t="shared" si="23"/>
        <v>26.423999999999999</v>
      </c>
      <c r="K74">
        <f t="shared" si="23"/>
        <v>2.4480000000000004</v>
      </c>
      <c r="L74">
        <f t="shared" si="21"/>
        <v>19</v>
      </c>
      <c r="M74">
        <f t="shared" si="1"/>
        <v>315</v>
      </c>
      <c r="P74">
        <f t="shared" si="8"/>
        <v>261153.24480000004</v>
      </c>
      <c r="Q74">
        <f t="shared" si="9"/>
        <v>55939466.991102517</v>
      </c>
      <c r="R74">
        <f t="shared" si="10"/>
        <v>1565.0310436758402</v>
      </c>
      <c r="S74" s="4"/>
      <c r="W74" t="s">
        <v>56</v>
      </c>
      <c r="X74">
        <v>100262.39999999999</v>
      </c>
      <c r="Y74">
        <v>226964.69279999993</v>
      </c>
    </row>
    <row r="75" spans="1:25" x14ac:dyDescent="0.35">
      <c r="A75" t="s">
        <v>23</v>
      </c>
      <c r="B75">
        <v>120</v>
      </c>
      <c r="C75" t="str">
        <f t="shared" si="2"/>
        <v>T+120</v>
      </c>
      <c r="D75">
        <v>40</v>
      </c>
      <c r="E75">
        <v>60</v>
      </c>
      <c r="F75">
        <f t="shared" si="19"/>
        <v>2400</v>
      </c>
      <c r="G75">
        <f t="shared" si="13"/>
        <v>0.24576000000000012</v>
      </c>
      <c r="H75">
        <f t="shared" si="14"/>
        <v>4.1504400000000006</v>
      </c>
      <c r="I75">
        <f t="shared" si="15"/>
        <v>17.5518</v>
      </c>
      <c r="J75">
        <f t="shared" si="16"/>
        <v>32.961600000000004</v>
      </c>
      <c r="K75">
        <f>+J74*$Z$24+K74</f>
        <v>5.0904000000000007</v>
      </c>
      <c r="L75">
        <f t="shared" si="21"/>
        <v>20</v>
      </c>
      <c r="M75">
        <f t="shared" si="1"/>
        <v>350</v>
      </c>
      <c r="P75">
        <f>(G75*$W$30+H75*$W$31+I75*$W$32+J75*$W$33+K75*$W$34)/1000*M75*D75</f>
        <v>336569.11679999996</v>
      </c>
      <c r="Q75">
        <f t="shared" si="9"/>
        <v>117432998.85694449</v>
      </c>
      <c r="R75">
        <f t="shared" si="10"/>
        <v>1266.6829723820774</v>
      </c>
      <c r="S75" s="4"/>
      <c r="W75" t="s">
        <v>57</v>
      </c>
      <c r="X75">
        <v>57256.319999999992</v>
      </c>
      <c r="Y75">
        <v>259642.47023999994</v>
      </c>
    </row>
    <row r="76" spans="1:25" x14ac:dyDescent="0.35">
      <c r="A76" t="s">
        <v>23</v>
      </c>
      <c r="B76">
        <v>130</v>
      </c>
      <c r="C76" t="str">
        <f t="shared" si="2"/>
        <v>T+130</v>
      </c>
      <c r="D76">
        <v>40</v>
      </c>
      <c r="E76">
        <v>60</v>
      </c>
      <c r="F76">
        <f t="shared" si="19"/>
        <v>2400</v>
      </c>
      <c r="G76">
        <f>+G75</f>
        <v>0.24576000000000012</v>
      </c>
      <c r="H76">
        <f t="shared" ref="H76:K76" si="24">+H75</f>
        <v>4.1504400000000006</v>
      </c>
      <c r="I76">
        <f t="shared" si="24"/>
        <v>17.5518</v>
      </c>
      <c r="J76">
        <f t="shared" si="24"/>
        <v>32.961600000000004</v>
      </c>
      <c r="K76">
        <f t="shared" si="24"/>
        <v>5.0904000000000007</v>
      </c>
      <c r="L76">
        <f t="shared" si="21"/>
        <v>21</v>
      </c>
      <c r="M76">
        <f t="shared" si="1"/>
        <v>385</v>
      </c>
      <c r="P76">
        <f t="shared" si="8"/>
        <v>370226.02848000004</v>
      </c>
      <c r="Q76">
        <f t="shared" si="9"/>
        <v>210414578.92888221</v>
      </c>
      <c r="R76">
        <f t="shared" si="10"/>
        <v>875.03768443167019</v>
      </c>
      <c r="S76" s="4"/>
      <c r="W76" t="s">
        <v>58</v>
      </c>
      <c r="X76">
        <v>75474.239999999991</v>
      </c>
      <c r="Y76">
        <v>286279.87118399993</v>
      </c>
    </row>
    <row r="77" spans="1:25" x14ac:dyDescent="0.35">
      <c r="A77" t="s">
        <v>23</v>
      </c>
      <c r="B77">
        <v>140</v>
      </c>
      <c r="C77" t="str">
        <f t="shared" si="2"/>
        <v>T+140</v>
      </c>
      <c r="D77">
        <v>40</v>
      </c>
      <c r="E77">
        <v>60</v>
      </c>
      <c r="F77">
        <f t="shared" ref="F77:F81" si="25">+D77*E77</f>
        <v>2400</v>
      </c>
      <c r="G77">
        <f t="shared" ref="G77:G81" si="26">G76*(1-$W$24)</f>
        <v>9.8304000000000058E-2</v>
      </c>
      <c r="H77">
        <f t="shared" ref="H77:H81" si="27">+G76*$W$24+H76*(1-$X$24)</f>
        <v>2.2226760000000003</v>
      </c>
      <c r="I77">
        <f t="shared" ref="I77:I81" si="28">+H76*$X$24+I76*(1-$Y$24)</f>
        <v>12.606299999999999</v>
      </c>
      <c r="J77">
        <f t="shared" ref="J77:J81" si="29">+I76*$Y$24+J76*(1-$Z$24)</f>
        <v>36.686160000000001</v>
      </c>
      <c r="K77">
        <f t="shared" ref="K77:K81" si="30">+J76*$Z$24+K76</f>
        <v>8.3865600000000011</v>
      </c>
      <c r="L77">
        <v>21</v>
      </c>
      <c r="M77">
        <f t="shared" si="1"/>
        <v>385</v>
      </c>
      <c r="P77">
        <f t="shared" si="8"/>
        <v>415188.24547200004</v>
      </c>
      <c r="Q77">
        <f t="shared" si="9"/>
        <v>384367730.42598212</v>
      </c>
      <c r="R77">
        <f t="shared" si="10"/>
        <v>616.26995799288352</v>
      </c>
      <c r="S77" s="4"/>
      <c r="W77" t="s">
        <v>59</v>
      </c>
      <c r="X77">
        <v>122546.30399999997</v>
      </c>
      <c r="Y77">
        <v>307787.34572639992</v>
      </c>
    </row>
    <row r="78" spans="1:25" x14ac:dyDescent="0.35">
      <c r="A78" t="s">
        <v>23</v>
      </c>
      <c r="B78">
        <v>150</v>
      </c>
      <c r="C78" t="str">
        <f t="shared" si="2"/>
        <v>T+150</v>
      </c>
      <c r="D78">
        <v>40</v>
      </c>
      <c r="E78">
        <v>60</v>
      </c>
      <c r="F78">
        <f t="shared" si="25"/>
        <v>2400</v>
      </c>
      <c r="G78">
        <f>+G77</f>
        <v>9.8304000000000058E-2</v>
      </c>
      <c r="H78">
        <f t="shared" ref="H78:K78" si="31">+H77</f>
        <v>2.2226760000000003</v>
      </c>
      <c r="I78">
        <f t="shared" si="31"/>
        <v>12.606299999999999</v>
      </c>
      <c r="J78">
        <f t="shared" si="31"/>
        <v>36.686160000000001</v>
      </c>
      <c r="K78">
        <f t="shared" si="31"/>
        <v>8.3865600000000011</v>
      </c>
      <c r="L78">
        <v>21</v>
      </c>
      <c r="M78">
        <f t="shared" si="1"/>
        <v>385</v>
      </c>
      <c r="P78">
        <f t="shared" si="8"/>
        <v>415188.24547200004</v>
      </c>
      <c r="Q78">
        <f t="shared" si="9"/>
        <v>626094530.79752243</v>
      </c>
      <c r="R78">
        <f t="shared" si="10"/>
        <v>387.02332196091066</v>
      </c>
      <c r="S78" s="4"/>
      <c r="W78" t="s">
        <v>60</v>
      </c>
      <c r="X78">
        <v>156586.94399999999</v>
      </c>
      <c r="Y78">
        <v>325071.92896847997</v>
      </c>
    </row>
    <row r="79" spans="1:25" x14ac:dyDescent="0.35">
      <c r="A79" t="s">
        <v>23</v>
      </c>
      <c r="B79">
        <v>160</v>
      </c>
      <c r="C79" t="str">
        <f t="shared" si="2"/>
        <v>T+160</v>
      </c>
      <c r="D79">
        <v>40</v>
      </c>
      <c r="E79">
        <v>60</v>
      </c>
      <c r="F79">
        <f t="shared" si="25"/>
        <v>2400</v>
      </c>
      <c r="G79">
        <f t="shared" si="26"/>
        <v>3.9321600000000026E-2</v>
      </c>
      <c r="H79">
        <f t="shared" si="27"/>
        <v>1.1703204000000003</v>
      </c>
      <c r="I79">
        <f t="shared" si="28"/>
        <v>8.6751179999999994</v>
      </c>
      <c r="J79">
        <f t="shared" si="29"/>
        <v>38.060063999999997</v>
      </c>
      <c r="K79">
        <f t="shared" si="30"/>
        <v>12.055176000000001</v>
      </c>
      <c r="L79">
        <v>21</v>
      </c>
      <c r="M79">
        <f t="shared" si="1"/>
        <v>385</v>
      </c>
      <c r="P79">
        <f t="shared" si="8"/>
        <v>454621.77055679995</v>
      </c>
      <c r="Q79">
        <f t="shared" si="9"/>
        <v>1116704021.7188075</v>
      </c>
      <c r="R79">
        <f t="shared" si="10"/>
        <v>266.13895966973575</v>
      </c>
      <c r="S79" s="4"/>
      <c r="W79" t="s">
        <v>61</v>
      </c>
      <c r="X79">
        <v>232136.21760000003</v>
      </c>
      <c r="Y79">
        <v>338930.85912062391</v>
      </c>
    </row>
    <row r="80" spans="1:25" x14ac:dyDescent="0.35">
      <c r="A80" t="s">
        <v>23</v>
      </c>
      <c r="B80">
        <v>170</v>
      </c>
      <c r="C80" t="str">
        <f t="shared" si="2"/>
        <v>T+170</v>
      </c>
      <c r="D80">
        <v>40</v>
      </c>
      <c r="E80">
        <v>60</v>
      </c>
      <c r="F80">
        <f t="shared" si="25"/>
        <v>2400</v>
      </c>
      <c r="G80">
        <f>+G79</f>
        <v>3.9321600000000026E-2</v>
      </c>
      <c r="H80">
        <f t="shared" ref="H80:K80" si="32">+H79</f>
        <v>1.1703204000000003</v>
      </c>
      <c r="I80">
        <f t="shared" si="32"/>
        <v>8.6751179999999994</v>
      </c>
      <c r="J80">
        <f t="shared" si="32"/>
        <v>38.060063999999997</v>
      </c>
      <c r="K80">
        <f t="shared" si="32"/>
        <v>12.055176000000001</v>
      </c>
      <c r="L80">
        <v>21</v>
      </c>
      <c r="M80">
        <f t="shared" si="1"/>
        <v>385</v>
      </c>
      <c r="P80">
        <f t="shared" si="8"/>
        <v>454621.77055679995</v>
      </c>
      <c r="Q80">
        <f t="shared" si="9"/>
        <v>1818993180.678525</v>
      </c>
      <c r="R80">
        <f t="shared" si="10"/>
        <v>167.13776639391438</v>
      </c>
      <c r="S80" s="4"/>
      <c r="W80" t="s">
        <v>62</v>
      </c>
      <c r="X80">
        <v>261153.24480000004</v>
      </c>
      <c r="Y80">
        <v>350030.4447977423</v>
      </c>
    </row>
    <row r="81" spans="1:25" x14ac:dyDescent="0.35">
      <c r="A81" t="s">
        <v>23</v>
      </c>
      <c r="B81">
        <v>180</v>
      </c>
      <c r="C81" t="str">
        <f t="shared" si="2"/>
        <v>T+180</v>
      </c>
      <c r="D81">
        <v>40</v>
      </c>
      <c r="E81">
        <v>60</v>
      </c>
      <c r="F81">
        <f t="shared" si="25"/>
        <v>2400</v>
      </c>
      <c r="G81">
        <f t="shared" si="26"/>
        <v>1.5728640000000012E-2</v>
      </c>
      <c r="H81">
        <f t="shared" si="27"/>
        <v>0.60875316000000013</v>
      </c>
      <c r="I81">
        <f t="shared" si="28"/>
        <v>5.7902309999999995</v>
      </c>
      <c r="J81">
        <f t="shared" si="29"/>
        <v>37.724104799999992</v>
      </c>
      <c r="K81">
        <f t="shared" si="30"/>
        <v>15.861182400000001</v>
      </c>
      <c r="L81">
        <v>21</v>
      </c>
      <c r="M81">
        <f t="shared" si="1"/>
        <v>385</v>
      </c>
      <c r="P81">
        <f>(G81*$W$30+H81*$W$31+I81*$W$32+J81*$W$33+K81*$W$34)/1000*M81*D81</f>
        <v>489243.60637151991</v>
      </c>
      <c r="Q81">
        <f t="shared" si="9"/>
        <v>3188592288.410152</v>
      </c>
      <c r="R81">
        <f>Q81/((1+$U$51)^B81)</f>
        <v>112.95765372356662</v>
      </c>
      <c r="S81" s="4"/>
      <c r="W81" t="s">
        <v>63</v>
      </c>
      <c r="X81">
        <v>336569.11679999996</v>
      </c>
      <c r="Y81">
        <v>358915.06870069087</v>
      </c>
    </row>
    <row r="82" spans="1:25" x14ac:dyDescent="0.35">
      <c r="A82" t="s">
        <v>24</v>
      </c>
      <c r="B82">
        <v>0</v>
      </c>
      <c r="C82" t="s">
        <v>14</v>
      </c>
      <c r="D82">
        <v>40</v>
      </c>
      <c r="E82">
        <v>60</v>
      </c>
      <c r="F82">
        <f t="shared" ref="F82:F87" si="33">+D82*E82</f>
        <v>2400</v>
      </c>
      <c r="G82">
        <v>60</v>
      </c>
      <c r="L82">
        <v>13</v>
      </c>
      <c r="M82">
        <f t="shared" si="1"/>
        <v>85</v>
      </c>
      <c r="O82">
        <v>40</v>
      </c>
      <c r="P82">
        <f>F82*M82*O82/1000</f>
        <v>8160</v>
      </c>
      <c r="Q82">
        <f>(P82*(1+$U$50)^B82)</f>
        <v>8160</v>
      </c>
      <c r="R82">
        <f>(Q82-$Q$82/2)/((1+$U$51)^B82)+(Q82/2)</f>
        <v>8160</v>
      </c>
      <c r="S82" s="4"/>
      <c r="W82" t="s">
        <v>64</v>
      </c>
      <c r="X82">
        <v>370226.02848000004</v>
      </c>
      <c r="Y82">
        <v>366024.74316917703</v>
      </c>
    </row>
    <row r="83" spans="1:25" x14ac:dyDescent="0.35">
      <c r="A83" t="s">
        <v>24</v>
      </c>
      <c r="B83">
        <v>10</v>
      </c>
      <c r="C83" t="str">
        <f>"T+"&amp;B83</f>
        <v>T+10</v>
      </c>
      <c r="D83">
        <v>40</v>
      </c>
      <c r="E83">
        <v>30</v>
      </c>
      <c r="F83">
        <f t="shared" si="33"/>
        <v>1200</v>
      </c>
      <c r="G83">
        <f>E83*(1-$W$25)</f>
        <v>5.9999999999999982</v>
      </c>
      <c r="H83">
        <f>+E83*$W$25+H82*(1-X60)</f>
        <v>24</v>
      </c>
      <c r="L83">
        <f>L82+2</f>
        <v>15</v>
      </c>
      <c r="M83">
        <f t="shared" si="1"/>
        <v>145</v>
      </c>
      <c r="P83">
        <f t="shared" ref="P83:P100" si="34">(G83*$W$30+H83*$W$31+I83*$W$32+J83*$W$33+K83*$W$34)/1000*M83*D83+$P$82/2</f>
        <v>22176</v>
      </c>
      <c r="Q83">
        <f>(P83-$P$82/2)*((1+$U$50)^B83)+$P$82/2</f>
        <v>33556.477166164579</v>
      </c>
      <c r="R83">
        <f>((Q83-$Q$82/2)/((1+$U$51)^B83))+($Q$82/2)</f>
        <v>15444.457967437565</v>
      </c>
      <c r="S83" s="4"/>
      <c r="T83" s="4"/>
      <c r="U83">
        <f>(546960-(8160/2))*(1.05^10)+P82/2</f>
        <v>888374.31498493743</v>
      </c>
      <c r="W83" t="s">
        <v>65</v>
      </c>
      <c r="X83">
        <v>415188.24547200004</v>
      </c>
      <c r="Y83">
        <v>371713.27075888409</v>
      </c>
    </row>
    <row r="84" spans="1:25" x14ac:dyDescent="0.35">
      <c r="A84" t="s">
        <v>24</v>
      </c>
      <c r="B84">
        <v>20</v>
      </c>
      <c r="C84" t="str">
        <f t="shared" ref="C84:C100" si="35">"T+"&amp;B84</f>
        <v>T+20</v>
      </c>
      <c r="D84">
        <v>40</v>
      </c>
      <c r="E84">
        <v>30</v>
      </c>
      <c r="F84">
        <f t="shared" si="33"/>
        <v>1200</v>
      </c>
      <c r="G84">
        <f>+G83*(1-$W$25)</f>
        <v>1.1999999999999993</v>
      </c>
      <c r="H84">
        <f>+G83*$W$25+H83*(1-$X$25)</f>
        <v>12</v>
      </c>
      <c r="I84">
        <f>+H83*$X$25+I83-J84</f>
        <v>16.799999999999997</v>
      </c>
      <c r="J84">
        <f>+I83*$Y$25+J83-K84</f>
        <v>0</v>
      </c>
      <c r="K84">
        <f>+J83*$Z$25</f>
        <v>0</v>
      </c>
      <c r="L84">
        <f t="shared" ref="L84:L86" si="36">L83+2</f>
        <v>17</v>
      </c>
      <c r="M84">
        <f t="shared" si="1"/>
        <v>230</v>
      </c>
      <c r="P84">
        <f t="shared" si="34"/>
        <v>57955.199999999983</v>
      </c>
      <c r="Q84">
        <f>(P84-$P$82/2)*((1+$U$50)^B84)+$P$82/2</f>
        <v>147026.94452419665</v>
      </c>
      <c r="R84">
        <f t="shared" ref="R83:R100" si="37">((Q84-$Q$82/2)/((1+$U$51)^B84))+($Q$82/2)</f>
        <v>25328.152449042562</v>
      </c>
      <c r="S84" s="4"/>
      <c r="W84" t="s">
        <v>66</v>
      </c>
      <c r="X84">
        <v>415188.24547200004</v>
      </c>
      <c r="Y84">
        <v>376264.4073827531</v>
      </c>
    </row>
    <row r="85" spans="1:25" x14ac:dyDescent="0.35">
      <c r="A85" t="s">
        <v>24</v>
      </c>
      <c r="B85">
        <v>30</v>
      </c>
      <c r="C85" t="str">
        <f t="shared" si="35"/>
        <v>T+30</v>
      </c>
      <c r="D85">
        <v>40</v>
      </c>
      <c r="E85">
        <v>30</v>
      </c>
      <c r="F85">
        <f t="shared" si="33"/>
        <v>1200</v>
      </c>
      <c r="G85">
        <f>G84*(1-$W$25)</f>
        <v>0.2399999999999998</v>
      </c>
      <c r="H85">
        <f>+G84*$W$25+H84*(1-$X$25)</f>
        <v>4.5600000000000005</v>
      </c>
      <c r="I85">
        <f>+H84*$X$25+I84*(1-$Y$25)</f>
        <v>15.119999999999997</v>
      </c>
      <c r="J85">
        <f>+I84*$Y$25+J84*(1-$Z$25)</f>
        <v>10.079999999999998</v>
      </c>
      <c r="K85">
        <f>+J84*$Z$25+K84</f>
        <v>0</v>
      </c>
      <c r="L85">
        <f t="shared" si="36"/>
        <v>19</v>
      </c>
      <c r="M85">
        <f t="shared" si="1"/>
        <v>315</v>
      </c>
      <c r="P85">
        <f t="shared" si="34"/>
        <v>117147.35999999999</v>
      </c>
      <c r="Q85">
        <f t="shared" ref="Q83:Q100" si="38">(P85-$P$82/2)*((1+$U$50)^B85)+$P$82/2</f>
        <v>492750.61443041492</v>
      </c>
      <c r="R85">
        <f t="shared" si="37"/>
        <v>32085.005953799933</v>
      </c>
      <c r="S85" s="4"/>
      <c r="W85" t="s">
        <v>67</v>
      </c>
      <c r="X85">
        <v>454621.77055679995</v>
      </c>
      <c r="Y85">
        <v>379905.44230316964</v>
      </c>
    </row>
    <row r="86" spans="1:25" x14ac:dyDescent="0.35">
      <c r="A86" t="s">
        <v>24</v>
      </c>
      <c r="B86">
        <v>40</v>
      </c>
      <c r="C86" t="str">
        <f t="shared" si="35"/>
        <v>T+40</v>
      </c>
      <c r="D86">
        <v>40</v>
      </c>
      <c r="E86">
        <v>30</v>
      </c>
      <c r="F86">
        <f t="shared" si="33"/>
        <v>1200</v>
      </c>
      <c r="G86">
        <f>G85*(1-$W$25)</f>
        <v>4.7999999999999945E-2</v>
      </c>
      <c r="H86">
        <f>+G85*$W$25+H85*(1-$X$25)</f>
        <v>1.56</v>
      </c>
      <c r="I86">
        <f>+H85*$X$25+I85*(1-$Y$25)</f>
        <v>9.2399999999999984</v>
      </c>
      <c r="J86">
        <f>+I85*$Y$25+J85*(1-$Z$25)</f>
        <v>17.135999999999996</v>
      </c>
      <c r="K86">
        <f>+J85*$Z$25+K85</f>
        <v>2.0159999999999996</v>
      </c>
      <c r="L86">
        <f t="shared" si="36"/>
        <v>21</v>
      </c>
      <c r="M86">
        <f t="shared" si="1"/>
        <v>385</v>
      </c>
      <c r="P86">
        <f t="shared" si="34"/>
        <v>187656.62399999998</v>
      </c>
      <c r="Q86">
        <f>(P86-$P$82/2)*((1+$U$50)^B86)+$P$82/2</f>
        <v>1296457.3607699508</v>
      </c>
      <c r="R86">
        <f>((Q86-$Q$82/2)/((1+$U$51)^B86))+($Q$82/2)</f>
        <v>32634.98493171599</v>
      </c>
      <c r="S86" s="6">
        <f>32634.984931716*1000</f>
        <v>32634984.931715999</v>
      </c>
      <c r="W86" t="s">
        <v>68</v>
      </c>
      <c r="X86">
        <v>454621.77055679995</v>
      </c>
      <c r="Y86">
        <v>382818.3204275032</v>
      </c>
    </row>
    <row r="87" spans="1:25" x14ac:dyDescent="0.35">
      <c r="A87" t="s">
        <v>24</v>
      </c>
      <c r="B87">
        <v>50</v>
      </c>
      <c r="C87" t="str">
        <f t="shared" si="35"/>
        <v>T+50</v>
      </c>
      <c r="D87">
        <v>40</v>
      </c>
      <c r="E87">
        <v>30</v>
      </c>
      <c r="F87">
        <f t="shared" si="33"/>
        <v>1200</v>
      </c>
      <c r="G87">
        <f>G86*(1-$W$25)</f>
        <v>9.599999999999987E-3</v>
      </c>
      <c r="H87">
        <f>+G86*$W$25+H86*(1-$X$25)</f>
        <v>0.50640000000000007</v>
      </c>
      <c r="I87">
        <f>+H86*$X$25+I86*(1-$Y$25)</f>
        <v>4.7879999999999994</v>
      </c>
      <c r="J87">
        <f>+I86*$Y$25+J86*(1-$Z$25)</f>
        <v>19.252799999999993</v>
      </c>
      <c r="K87">
        <f>+J86*$Z$25+K86</f>
        <v>5.4431999999999992</v>
      </c>
      <c r="L87">
        <v>21</v>
      </c>
      <c r="M87">
        <f t="shared" si="1"/>
        <v>385</v>
      </c>
      <c r="P87">
        <f>(G87*$W$30+H87*$W$31+I87*$W$32+J87*$W$33+K87*$W$34)/1000*M87*D87+$P$82/2</f>
        <v>226964.69279999993</v>
      </c>
      <c r="Q87">
        <f>(P87-$P$82/2)*((1+$U$50)^B87)+$P$82/2</f>
        <v>2559987.8784624948</v>
      </c>
      <c r="R87">
        <f t="shared" si="37"/>
        <v>25852.632328362379</v>
      </c>
      <c r="S87" s="4"/>
      <c r="W87" t="s">
        <v>69</v>
      </c>
      <c r="X87">
        <v>489243.60637151991</v>
      </c>
      <c r="Y87">
        <v>385148.64298387745</v>
      </c>
    </row>
    <row r="88" spans="1:25" x14ac:dyDescent="0.35">
      <c r="A88" t="s">
        <v>24</v>
      </c>
      <c r="B88">
        <v>60</v>
      </c>
      <c r="C88" t="str">
        <f t="shared" si="35"/>
        <v>T+60</v>
      </c>
      <c r="D88">
        <v>40</v>
      </c>
      <c r="E88">
        <v>30</v>
      </c>
      <c r="F88">
        <f t="shared" ref="F88:F100" si="39">+D88*E88</f>
        <v>1200</v>
      </c>
      <c r="G88">
        <f t="shared" ref="G88:G100" si="40">G87*(1-$W$25)</f>
        <v>1.919999999999997E-3</v>
      </c>
      <c r="H88">
        <f t="shared" ref="H88:H100" si="41">+G87*$W$25+H87*(1-$X$25)</f>
        <v>0.15960000000000005</v>
      </c>
      <c r="I88">
        <f t="shared" ref="I88:I100" si="42">+H87*$X$25+I87*(1-$Y$25)</f>
        <v>2.2696799999999997</v>
      </c>
      <c r="J88">
        <f t="shared" ref="J88:J100" si="43">+I87*$Y$25+J87*(1-$Z$25)</f>
        <v>18.275039999999994</v>
      </c>
      <c r="K88">
        <f t="shared" ref="K88:K100" si="44">+J87*$Z$25+K87</f>
        <v>9.2937599999999989</v>
      </c>
      <c r="L88">
        <v>21</v>
      </c>
      <c r="M88">
        <f t="shared" si="1"/>
        <v>385</v>
      </c>
      <c r="P88">
        <f t="shared" si="34"/>
        <v>259642.47023999994</v>
      </c>
      <c r="Q88">
        <f>(P88-$P$82/2)*((1+$U$50)^B88)+$P$82/2</f>
        <v>4777778.8891742257</v>
      </c>
      <c r="R88">
        <f t="shared" si="37"/>
        <v>19758.117394414676</v>
      </c>
      <c r="S88" s="4"/>
    </row>
    <row r="89" spans="1:25" x14ac:dyDescent="0.35">
      <c r="A89" t="s">
        <v>24</v>
      </c>
      <c r="B89">
        <v>70</v>
      </c>
      <c r="C89" t="str">
        <f t="shared" si="35"/>
        <v>T+70</v>
      </c>
      <c r="D89">
        <v>40</v>
      </c>
      <c r="E89">
        <v>30</v>
      </c>
      <c r="F89">
        <f t="shared" si="39"/>
        <v>1200</v>
      </c>
      <c r="G89">
        <f t="shared" si="40"/>
        <v>3.839999999999993E-4</v>
      </c>
      <c r="H89">
        <f t="shared" si="41"/>
        <v>4.9416000000000015E-2</v>
      </c>
      <c r="I89">
        <f t="shared" si="42"/>
        <v>1.0195919999999998</v>
      </c>
      <c r="J89">
        <f t="shared" si="43"/>
        <v>15.981839999999995</v>
      </c>
      <c r="K89">
        <f t="shared" si="44"/>
        <v>12.948767999999998</v>
      </c>
      <c r="L89">
        <v>21</v>
      </c>
      <c r="M89">
        <f t="shared" si="1"/>
        <v>385</v>
      </c>
      <c r="P89">
        <f t="shared" si="34"/>
        <v>286279.87118399993</v>
      </c>
      <c r="Q89">
        <f t="shared" si="38"/>
        <v>8590413.3667115811</v>
      </c>
      <c r="R89">
        <f t="shared" si="37"/>
        <v>14952.258883413575</v>
      </c>
      <c r="S89" s="4">
        <f>R86-R85</f>
        <v>549.97897791605646</v>
      </c>
    </row>
    <row r="90" spans="1:25" x14ac:dyDescent="0.35">
      <c r="A90" t="s">
        <v>24</v>
      </c>
      <c r="B90">
        <v>80</v>
      </c>
      <c r="C90" t="str">
        <f t="shared" si="35"/>
        <v>T+80</v>
      </c>
      <c r="D90">
        <v>40</v>
      </c>
      <c r="E90">
        <v>30</v>
      </c>
      <c r="F90">
        <f t="shared" si="39"/>
        <v>1200</v>
      </c>
      <c r="G90">
        <f t="shared" si="40"/>
        <v>7.6799999999999847E-5</v>
      </c>
      <c r="H90">
        <f t="shared" si="41"/>
        <v>1.5132000000000005E-2</v>
      </c>
      <c r="I90">
        <f t="shared" si="42"/>
        <v>0.44242799999999993</v>
      </c>
      <c r="J90">
        <f t="shared" si="43"/>
        <v>13.397227199999996</v>
      </c>
      <c r="K90">
        <f t="shared" si="44"/>
        <v>16.145135999999997</v>
      </c>
      <c r="L90">
        <v>21</v>
      </c>
      <c r="M90">
        <f t="shared" si="1"/>
        <v>385</v>
      </c>
      <c r="P90">
        <f t="shared" si="34"/>
        <v>307787.34572639992</v>
      </c>
      <c r="Q90">
        <f t="shared" si="38"/>
        <v>15056253.716786128</v>
      </c>
      <c r="R90">
        <f t="shared" si="37"/>
        <v>11428.258221029406</v>
      </c>
      <c r="S90" s="4"/>
    </row>
    <row r="91" spans="1:25" x14ac:dyDescent="0.35">
      <c r="A91" t="s">
        <v>24</v>
      </c>
      <c r="B91">
        <v>90</v>
      </c>
      <c r="C91" t="str">
        <f t="shared" si="35"/>
        <v>T+90</v>
      </c>
      <c r="D91">
        <v>40</v>
      </c>
      <c r="E91">
        <v>30</v>
      </c>
      <c r="F91">
        <f t="shared" si="39"/>
        <v>1200</v>
      </c>
      <c r="G91">
        <f t="shared" si="40"/>
        <v>1.5359999999999965E-5</v>
      </c>
      <c r="H91">
        <f t="shared" si="41"/>
        <v>4.6010400000000024E-3</v>
      </c>
      <c r="I91">
        <f t="shared" si="42"/>
        <v>0.1875636</v>
      </c>
      <c r="J91">
        <f t="shared" si="43"/>
        <v>10.983238559999997</v>
      </c>
      <c r="K91">
        <f t="shared" si="44"/>
        <v>18.824581439999996</v>
      </c>
      <c r="L91">
        <v>21</v>
      </c>
      <c r="M91">
        <f t="shared" si="1"/>
        <v>385</v>
      </c>
      <c r="P91">
        <f t="shared" si="34"/>
        <v>325071.92896847997</v>
      </c>
      <c r="Q91">
        <f t="shared" si="38"/>
        <v>25917875.603448693</v>
      </c>
      <c r="R91">
        <f t="shared" si="37"/>
        <v>8957.4111267020817</v>
      </c>
      <c r="S91" s="4"/>
    </row>
    <row r="92" spans="1:25" x14ac:dyDescent="0.35">
      <c r="A92" t="s">
        <v>24</v>
      </c>
      <c r="B92">
        <v>100</v>
      </c>
      <c r="C92" t="str">
        <f t="shared" si="35"/>
        <v>T+100</v>
      </c>
      <c r="D92">
        <v>40</v>
      </c>
      <c r="E92">
        <v>30</v>
      </c>
      <c r="F92">
        <f t="shared" si="39"/>
        <v>1200</v>
      </c>
      <c r="G92">
        <f t="shared" si="40"/>
        <v>3.0719999999999924E-6</v>
      </c>
      <c r="H92">
        <f t="shared" si="41"/>
        <v>1.392600000000001E-3</v>
      </c>
      <c r="I92">
        <f t="shared" si="42"/>
        <v>7.8246168000000005E-2</v>
      </c>
      <c r="J92">
        <f t="shared" si="43"/>
        <v>8.8991290079999974</v>
      </c>
      <c r="K92">
        <f t="shared" si="44"/>
        <v>21.021229151999997</v>
      </c>
      <c r="L92">
        <v>21</v>
      </c>
      <c r="M92">
        <f t="shared" si="1"/>
        <v>385</v>
      </c>
      <c r="P92">
        <f t="shared" si="34"/>
        <v>338930.85912062391</v>
      </c>
      <c r="Q92">
        <f t="shared" si="38"/>
        <v>44037389.165277451</v>
      </c>
      <c r="R92">
        <f t="shared" si="37"/>
        <v>7275.3086030896247</v>
      </c>
      <c r="S92" s="4"/>
    </row>
    <row r="93" spans="1:25" x14ac:dyDescent="0.35">
      <c r="A93" t="s">
        <v>24</v>
      </c>
      <c r="B93">
        <v>110</v>
      </c>
      <c r="C93" t="str">
        <f t="shared" si="35"/>
        <v>T+110</v>
      </c>
      <c r="D93">
        <v>40</v>
      </c>
      <c r="E93">
        <v>30</v>
      </c>
      <c r="F93">
        <f t="shared" si="39"/>
        <v>1200</v>
      </c>
      <c r="G93">
        <f t="shared" si="40"/>
        <v>6.143999999999983E-7</v>
      </c>
      <c r="H93">
        <f t="shared" si="41"/>
        <v>4.2023760000000032E-4</v>
      </c>
      <c r="I93">
        <f t="shared" si="42"/>
        <v>3.2273287200000007E-2</v>
      </c>
      <c r="J93">
        <f t="shared" si="43"/>
        <v>7.1662509071999976</v>
      </c>
      <c r="K93">
        <f t="shared" si="44"/>
        <v>22.801054953599994</v>
      </c>
      <c r="L93">
        <v>21</v>
      </c>
      <c r="M93">
        <f t="shared" si="1"/>
        <v>385</v>
      </c>
      <c r="P93">
        <f t="shared" si="34"/>
        <v>350030.4447977423</v>
      </c>
      <c r="Q93">
        <f t="shared" si="38"/>
        <v>74107250.734643444</v>
      </c>
      <c r="R93">
        <f t="shared" si="37"/>
        <v>6153.2010666632614</v>
      </c>
      <c r="S93" s="4"/>
    </row>
    <row r="94" spans="1:25" x14ac:dyDescent="0.35">
      <c r="A94" t="s">
        <v>24</v>
      </c>
      <c r="B94">
        <v>120</v>
      </c>
      <c r="C94" t="str">
        <f t="shared" si="35"/>
        <v>T+120</v>
      </c>
      <c r="D94">
        <v>40</v>
      </c>
      <c r="E94">
        <v>30</v>
      </c>
      <c r="F94">
        <f t="shared" si="39"/>
        <v>1200</v>
      </c>
      <c r="G94">
        <f t="shared" si="40"/>
        <v>1.2287999999999963E-7</v>
      </c>
      <c r="H94">
        <f t="shared" si="41"/>
        <v>1.265628000000001E-4</v>
      </c>
      <c r="I94">
        <f t="shared" si="42"/>
        <v>1.3203481200000004E-2</v>
      </c>
      <c r="J94">
        <f t="shared" si="43"/>
        <v>5.7523646980799983</v>
      </c>
      <c r="K94">
        <f t="shared" si="44"/>
        <v>24.234305135039993</v>
      </c>
      <c r="L94">
        <v>21</v>
      </c>
      <c r="M94">
        <f t="shared" si="1"/>
        <v>385</v>
      </c>
      <c r="P94">
        <f t="shared" si="34"/>
        <v>358915.06870069087</v>
      </c>
      <c r="Q94">
        <f t="shared" si="38"/>
        <v>123810288.40471616</v>
      </c>
      <c r="R94">
        <f t="shared" si="37"/>
        <v>5415.4271592134082</v>
      </c>
      <c r="S94" s="4"/>
    </row>
    <row r="95" spans="1:25" x14ac:dyDescent="0.35">
      <c r="A95" t="s">
        <v>24</v>
      </c>
      <c r="B95">
        <v>130</v>
      </c>
      <c r="C95" t="str">
        <f t="shared" si="35"/>
        <v>T+130</v>
      </c>
      <c r="D95">
        <v>40</v>
      </c>
      <c r="E95">
        <v>30</v>
      </c>
      <c r="F95">
        <f t="shared" si="39"/>
        <v>1200</v>
      </c>
      <c r="G95">
        <f t="shared" si="40"/>
        <v>2.4575999999999922E-8</v>
      </c>
      <c r="H95">
        <f t="shared" si="41"/>
        <v>3.8067144000000034E-5</v>
      </c>
      <c r="I95">
        <f t="shared" si="42"/>
        <v>5.3699864400000019E-3</v>
      </c>
      <c r="J95">
        <f t="shared" si="43"/>
        <v>4.6098138471839984</v>
      </c>
      <c r="K95">
        <f t="shared" si="44"/>
        <v>25.384778074655991</v>
      </c>
      <c r="L95">
        <v>21</v>
      </c>
      <c r="M95">
        <f t="shared" si="1"/>
        <v>385</v>
      </c>
      <c r="P95">
        <f t="shared" si="34"/>
        <v>366024.74316917703</v>
      </c>
      <c r="Q95">
        <f t="shared" si="38"/>
        <v>205712066.12442493</v>
      </c>
      <c r="R95">
        <f t="shared" si="37"/>
        <v>4935.4646772277965</v>
      </c>
      <c r="S95" s="4"/>
    </row>
    <row r="96" spans="1:25" x14ac:dyDescent="0.35">
      <c r="A96" t="s">
        <v>24</v>
      </c>
      <c r="B96">
        <v>140</v>
      </c>
      <c r="C96" t="str">
        <f t="shared" si="35"/>
        <v>T+140</v>
      </c>
      <c r="D96">
        <v>40</v>
      </c>
      <c r="E96">
        <v>30</v>
      </c>
      <c r="F96">
        <f t="shared" si="39"/>
        <v>1200</v>
      </c>
      <c r="G96">
        <f t="shared" si="40"/>
        <v>4.9151999999999832E-9</v>
      </c>
      <c r="H96">
        <f t="shared" si="41"/>
        <v>1.1439804000000011E-5</v>
      </c>
      <c r="I96">
        <f t="shared" si="42"/>
        <v>2.1746415768000012E-3</v>
      </c>
      <c r="J96">
        <f t="shared" si="43"/>
        <v>3.6910730696111993</v>
      </c>
      <c r="K96">
        <f t="shared" si="44"/>
        <v>26.30674084409279</v>
      </c>
      <c r="L96">
        <v>21</v>
      </c>
      <c r="M96">
        <f t="shared" si="1"/>
        <v>385</v>
      </c>
      <c r="P96">
        <f t="shared" si="34"/>
        <v>371713.27075888409</v>
      </c>
      <c r="Q96">
        <f t="shared" si="38"/>
        <v>340346966.51411843</v>
      </c>
      <c r="R96">
        <f t="shared" si="37"/>
        <v>4625.6834166145563</v>
      </c>
      <c r="S96" s="4"/>
    </row>
    <row r="97" spans="1:19" x14ac:dyDescent="0.35">
      <c r="A97" t="s">
        <v>24</v>
      </c>
      <c r="B97">
        <v>150</v>
      </c>
      <c r="C97" t="str">
        <f t="shared" si="35"/>
        <v>T+150</v>
      </c>
      <c r="D97">
        <v>40</v>
      </c>
      <c r="E97">
        <v>30</v>
      </c>
      <c r="F97">
        <f t="shared" si="39"/>
        <v>1200</v>
      </c>
      <c r="G97">
        <f t="shared" si="40"/>
        <v>9.8303999999999643E-10</v>
      </c>
      <c r="H97">
        <f t="shared" si="41"/>
        <v>3.4358733600000037E-6</v>
      </c>
      <c r="I97">
        <f t="shared" si="42"/>
        <v>8.7786449352000059E-4</v>
      </c>
      <c r="J97">
        <f t="shared" si="43"/>
        <v>2.9541632406350393</v>
      </c>
      <c r="K97">
        <f t="shared" si="44"/>
        <v>27.044955458015028</v>
      </c>
      <c r="L97">
        <v>21</v>
      </c>
      <c r="M97">
        <f t="shared" si="1"/>
        <v>385</v>
      </c>
      <c r="P97">
        <f t="shared" si="34"/>
        <v>376264.4073827531</v>
      </c>
      <c r="Q97">
        <f t="shared" si="38"/>
        <v>561249790.71502936</v>
      </c>
      <c r="R97">
        <f t="shared" si="37"/>
        <v>4426.9367143657255</v>
      </c>
      <c r="S97" s="4"/>
    </row>
    <row r="98" spans="1:19" x14ac:dyDescent="0.35">
      <c r="A98" t="s">
        <v>24</v>
      </c>
      <c r="B98">
        <v>160</v>
      </c>
      <c r="C98" t="str">
        <f t="shared" si="35"/>
        <v>T+160</v>
      </c>
      <c r="D98">
        <v>40</v>
      </c>
      <c r="E98">
        <v>30</v>
      </c>
      <c r="F98">
        <f t="shared" si="39"/>
        <v>1200</v>
      </c>
      <c r="G98">
        <f t="shared" si="40"/>
        <v>1.9660799999999924E-10</v>
      </c>
      <c r="H98">
        <f t="shared" si="41"/>
        <v>1.0315484400000012E-6</v>
      </c>
      <c r="I98">
        <f t="shared" si="42"/>
        <v>3.535509087600003E-4</v>
      </c>
      <c r="J98">
        <f t="shared" si="43"/>
        <v>2.3638573112041437</v>
      </c>
      <c r="K98">
        <f t="shared" si="44"/>
        <v>27.635788106142037</v>
      </c>
      <c r="L98">
        <v>21</v>
      </c>
      <c r="M98">
        <f t="shared" si="1"/>
        <v>385</v>
      </c>
      <c r="P98">
        <f t="shared" si="34"/>
        <v>379905.44230316964</v>
      </c>
      <c r="Q98">
        <f t="shared" si="38"/>
        <v>923157809.24219453</v>
      </c>
      <c r="R98">
        <f t="shared" si="37"/>
        <v>4300.0110041133348</v>
      </c>
      <c r="S98" s="4"/>
    </row>
    <row r="99" spans="1:19" x14ac:dyDescent="0.35">
      <c r="A99" t="s">
        <v>24</v>
      </c>
      <c r="B99">
        <v>170</v>
      </c>
      <c r="C99" t="str">
        <f t="shared" si="35"/>
        <v>T+170</v>
      </c>
      <c r="D99">
        <v>40</v>
      </c>
      <c r="E99">
        <v>30</v>
      </c>
      <c r="F99">
        <f t="shared" si="39"/>
        <v>1200</v>
      </c>
      <c r="G99">
        <f t="shared" si="40"/>
        <v>3.9321599999999838E-11</v>
      </c>
      <c r="H99">
        <f t="shared" si="41"/>
        <v>3.0962181840000042E-7</v>
      </c>
      <c r="I99">
        <f t="shared" si="42"/>
        <v>1.4214244741200013E-4</v>
      </c>
      <c r="J99">
        <f t="shared" si="43"/>
        <v>1.8912979795085711</v>
      </c>
      <c r="K99">
        <f t="shared" si="44"/>
        <v>28.108559568382866</v>
      </c>
      <c r="L99">
        <v>21</v>
      </c>
      <c r="M99">
        <f t="shared" si="1"/>
        <v>385</v>
      </c>
      <c r="P99">
        <f t="shared" si="34"/>
        <v>382818.3204275032</v>
      </c>
      <c r="Q99">
        <f>(P99-$P$82/2)*((1+$U$50)^B99)+$P$82/2</f>
        <v>1515378984.4519048</v>
      </c>
      <c r="R99">
        <f t="shared" si="37"/>
        <v>4219.2398715233257</v>
      </c>
      <c r="S99" s="4"/>
    </row>
    <row r="100" spans="1:19" x14ac:dyDescent="0.35">
      <c r="A100" t="s">
        <v>24</v>
      </c>
      <c r="B100">
        <v>180</v>
      </c>
      <c r="C100" t="str">
        <f t="shared" si="35"/>
        <v>T+180</v>
      </c>
      <c r="D100">
        <v>40</v>
      </c>
      <c r="E100">
        <v>30</v>
      </c>
      <c r="F100">
        <f t="shared" si="39"/>
        <v>1200</v>
      </c>
      <c r="G100">
        <f t="shared" si="40"/>
        <v>7.8643199999999662E-12</v>
      </c>
      <c r="H100">
        <f t="shared" si="41"/>
        <v>9.2918002800000138E-8</v>
      </c>
      <c r="I100">
        <f t="shared" si="42"/>
        <v>5.7073714237680054E-5</v>
      </c>
      <c r="J100">
        <f t="shared" si="43"/>
        <v>1.5131236690753043</v>
      </c>
      <c r="K100">
        <f t="shared" si="44"/>
        <v>28.486819164284579</v>
      </c>
      <c r="L100">
        <v>21</v>
      </c>
      <c r="M100">
        <f t="shared" si="1"/>
        <v>385</v>
      </c>
      <c r="P100">
        <f t="shared" si="34"/>
        <v>385148.64298387745</v>
      </c>
      <c r="Q100">
        <f>(P100-$P$82/2)*((1+$U$50)^B100)+$P$82/2</f>
        <v>2483577744.6308179</v>
      </c>
      <c r="R100">
        <f>((Q100-$Q$82/2)/((1+$U$51)^B100))+($Q$82/2)</f>
        <v>4167.9819771960292</v>
      </c>
      <c r="S100" s="4"/>
    </row>
    <row r="111" spans="1:19" x14ac:dyDescent="0.35">
      <c r="I111" t="s">
        <v>70</v>
      </c>
      <c r="J111">
        <f>(30*60)+(30*110)</f>
        <v>5100</v>
      </c>
    </row>
    <row r="119" spans="12:18" x14ac:dyDescent="0.35">
      <c r="L119">
        <f>60*85</f>
        <v>5100</v>
      </c>
    </row>
    <row r="120" spans="12:18" x14ac:dyDescent="0.35">
      <c r="L120">
        <f>40*L119</f>
        <v>204000</v>
      </c>
      <c r="Q120" t="s">
        <v>32</v>
      </c>
    </row>
    <row r="121" spans="12:18" x14ac:dyDescent="0.35">
      <c r="Q121" t="s">
        <v>23</v>
      </c>
      <c r="R121" t="s">
        <v>24</v>
      </c>
    </row>
    <row r="122" spans="12:18" x14ac:dyDescent="0.35">
      <c r="P122">
        <v>0</v>
      </c>
      <c r="Q122">
        <v>8160</v>
      </c>
      <c r="R122">
        <v>8160</v>
      </c>
    </row>
    <row r="123" spans="12:18" x14ac:dyDescent="0.35">
      <c r="P123">
        <v>10</v>
      </c>
      <c r="Q123">
        <v>17201.127258769782</v>
      </c>
      <c r="R123">
        <v>33556.477166164579</v>
      </c>
    </row>
    <row r="124" spans="12:18" x14ac:dyDescent="0.35">
      <c r="P124">
        <v>20</v>
      </c>
      <c r="Q124">
        <v>81254.588922342751</v>
      </c>
      <c r="R124">
        <v>147026.94452419665</v>
      </c>
    </row>
    <row r="125" spans="12:18" x14ac:dyDescent="0.35">
      <c r="P125">
        <v>30</v>
      </c>
      <c r="Q125">
        <v>164302.96133372758</v>
      </c>
      <c r="R125">
        <v>492750.61443041492</v>
      </c>
    </row>
    <row r="126" spans="12:18" x14ac:dyDescent="0.35">
      <c r="P126">
        <v>40</v>
      </c>
      <c r="Q126">
        <v>579802.20634864666</v>
      </c>
      <c r="R126">
        <v>1296457.3607699508</v>
      </c>
    </row>
    <row r="127" spans="12:18" x14ac:dyDescent="0.35">
      <c r="P127">
        <v>50</v>
      </c>
      <c r="Q127">
        <v>1149749.0242791502</v>
      </c>
      <c r="R127">
        <v>2559987.8784624948</v>
      </c>
    </row>
    <row r="128" spans="12:18" x14ac:dyDescent="0.35">
      <c r="P128">
        <v>60</v>
      </c>
      <c r="Q128">
        <v>1069501.4448933902</v>
      </c>
      <c r="R128">
        <v>4777778.8891742257</v>
      </c>
    </row>
    <row r="129" spans="16:18" x14ac:dyDescent="0.35">
      <c r="P129">
        <v>70</v>
      </c>
      <c r="Q129">
        <v>2296411.3432095023</v>
      </c>
      <c r="R129">
        <v>8590413.3667115811</v>
      </c>
    </row>
    <row r="130" spans="16:18" x14ac:dyDescent="0.35">
      <c r="P130">
        <v>80</v>
      </c>
      <c r="Q130">
        <v>6073571.4236553628</v>
      </c>
      <c r="R130">
        <v>15056253.716786128</v>
      </c>
    </row>
    <row r="131" spans="16:18" x14ac:dyDescent="0.35">
      <c r="P131">
        <v>90</v>
      </c>
      <c r="Q131">
        <v>12641321.151047137</v>
      </c>
      <c r="R131">
        <v>25917875.603448693</v>
      </c>
    </row>
    <row r="132" spans="16:18" x14ac:dyDescent="0.35">
      <c r="P132">
        <v>100</v>
      </c>
      <c r="Q132">
        <v>30526204.606083248</v>
      </c>
      <c r="R132">
        <v>44037389.165277451</v>
      </c>
    </row>
    <row r="133" spans="16:18" x14ac:dyDescent="0.35">
      <c r="P133">
        <v>110</v>
      </c>
      <c r="Q133">
        <v>55939466.991102517</v>
      </c>
      <c r="R133">
        <v>74107250.734643444</v>
      </c>
    </row>
    <row r="134" spans="16:18" x14ac:dyDescent="0.35">
      <c r="P134">
        <v>120</v>
      </c>
      <c r="Q134">
        <v>117432998.85694449</v>
      </c>
      <c r="R134">
        <v>123810288.40471616</v>
      </c>
    </row>
    <row r="135" spans="16:18" x14ac:dyDescent="0.35">
      <c r="P135">
        <v>130</v>
      </c>
      <c r="Q135">
        <v>210414578.92888221</v>
      </c>
      <c r="R135">
        <v>205712066.12442493</v>
      </c>
    </row>
    <row r="136" spans="16:18" x14ac:dyDescent="0.35">
      <c r="P136">
        <v>140</v>
      </c>
      <c r="Q136">
        <v>384367730.42598212</v>
      </c>
      <c r="R136">
        <v>340346966.51411843</v>
      </c>
    </row>
    <row r="137" spans="16:18" x14ac:dyDescent="0.35">
      <c r="P137">
        <v>150</v>
      </c>
      <c r="Q137">
        <v>626094530.79752243</v>
      </c>
      <c r="R137">
        <v>561249790.71502936</v>
      </c>
    </row>
    <row r="138" spans="16:18" x14ac:dyDescent="0.35">
      <c r="P138">
        <v>160</v>
      </c>
      <c r="Q138">
        <v>1116704021.7188075</v>
      </c>
      <c r="R138">
        <v>923157809.24219453</v>
      </c>
    </row>
    <row r="139" spans="16:18" x14ac:dyDescent="0.35">
      <c r="P139">
        <v>170</v>
      </c>
      <c r="Q139">
        <v>1818993180.678525</v>
      </c>
      <c r="R139">
        <v>1515378984.4519048</v>
      </c>
    </row>
    <row r="140" spans="16:18" x14ac:dyDescent="0.35">
      <c r="P140">
        <v>180</v>
      </c>
      <c r="Q140">
        <v>3188592288.410152</v>
      </c>
      <c r="R140">
        <v>2483577744.6308179</v>
      </c>
    </row>
  </sheetData>
  <mergeCells count="1">
    <mergeCell ref="X67:Y6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1F22D-874B-49C2-88CA-83AC68827A53}">
  <dimension ref="B2:G12"/>
  <sheetViews>
    <sheetView workbookViewId="0">
      <selection activeCell="I3" sqref="I3"/>
    </sheetView>
  </sheetViews>
  <sheetFormatPr defaultRowHeight="14.5" x14ac:dyDescent="0.35"/>
  <sheetData>
    <row r="2" spans="2:7" x14ac:dyDescent="0.35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2:7" x14ac:dyDescent="0.35">
      <c r="B3" t="s">
        <v>6</v>
      </c>
      <c r="C3" s="1">
        <v>0.6</v>
      </c>
      <c r="D3" s="1">
        <v>0.5</v>
      </c>
      <c r="E3" s="1">
        <v>0.4</v>
      </c>
      <c r="F3" s="1">
        <v>0.1</v>
      </c>
    </row>
    <row r="4" spans="2:7" x14ac:dyDescent="0.35">
      <c r="B4" t="s">
        <v>7</v>
      </c>
      <c r="C4" s="1">
        <v>0.8</v>
      </c>
      <c r="D4" s="1">
        <v>0.7</v>
      </c>
      <c r="E4" s="1">
        <v>0.6</v>
      </c>
      <c r="F4" s="1">
        <v>0.2</v>
      </c>
    </row>
    <row r="6" spans="2:7" x14ac:dyDescent="0.35">
      <c r="C6">
        <v>100</v>
      </c>
    </row>
    <row r="8" spans="2:7" x14ac:dyDescent="0.35">
      <c r="C8">
        <v>4</v>
      </c>
      <c r="D8">
        <v>3</v>
      </c>
      <c r="E8">
        <v>2</v>
      </c>
      <c r="F8">
        <v>1</v>
      </c>
      <c r="G8">
        <v>0</v>
      </c>
    </row>
    <row r="9" spans="2:7" x14ac:dyDescent="0.35">
      <c r="C9">
        <v>100</v>
      </c>
    </row>
    <row r="10" spans="2:7" x14ac:dyDescent="0.35">
      <c r="C10">
        <v>40</v>
      </c>
      <c r="D10">
        <v>60</v>
      </c>
    </row>
    <row r="11" spans="2:7" x14ac:dyDescent="0.35">
      <c r="C11">
        <f>+C10*0.4</f>
        <v>16</v>
      </c>
      <c r="D11">
        <f>+D10+C10*0.6-E11+E10</f>
        <v>54</v>
      </c>
      <c r="E11">
        <f>+D10*0.5</f>
        <v>30</v>
      </c>
    </row>
    <row r="12" spans="2:7" x14ac:dyDescent="0.35">
      <c r="C12">
        <f>+C11*0.4</f>
        <v>6.4</v>
      </c>
      <c r="D12">
        <f>+C11*0.6+D11-E12+E11-F12+F11</f>
        <v>36.6</v>
      </c>
      <c r="E12">
        <f>+D11*0.5+E11-F12+F11-G12+G11</f>
        <v>45</v>
      </c>
      <c r="F12">
        <f>+E11*0.4</f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5C3B-E18E-4400-A123-BFB4439607C9}">
  <dimension ref="A1:D20"/>
  <sheetViews>
    <sheetView topLeftCell="A19" workbookViewId="0">
      <selection activeCell="F10" sqref="F10"/>
    </sheetView>
  </sheetViews>
  <sheetFormatPr defaultRowHeight="14.5" x14ac:dyDescent="0.35"/>
  <cols>
    <col min="1" max="1" width="25.6328125" bestFit="1" customWidth="1"/>
    <col min="2" max="3" width="15.36328125" bestFit="1" customWidth="1"/>
    <col min="4" max="4" width="11.90625" bestFit="1" customWidth="1"/>
    <col min="5" max="5" width="28.81640625" bestFit="1" customWidth="1"/>
    <col min="6" max="6" width="33.26953125" bestFit="1" customWidth="1"/>
    <col min="7" max="7" width="16.1796875" bestFit="1" customWidth="1"/>
    <col min="8" max="8" width="30.08984375" bestFit="1" customWidth="1"/>
    <col min="9" max="9" width="16.1796875" bestFit="1" customWidth="1"/>
    <col min="10" max="10" width="33.26953125" bestFit="1" customWidth="1"/>
    <col min="11" max="11" width="16.1796875" bestFit="1" customWidth="1"/>
    <col min="12" max="12" width="34" bestFit="1" customWidth="1"/>
    <col min="13" max="13" width="33.26953125" bestFit="1" customWidth="1"/>
  </cols>
  <sheetData>
    <row r="1" spans="1:4" x14ac:dyDescent="0.35">
      <c r="A1" s="2" t="s">
        <v>27</v>
      </c>
      <c r="B1" t="s">
        <v>31</v>
      </c>
    </row>
    <row r="3" spans="1:4" x14ac:dyDescent="0.35">
      <c r="A3" s="2" t="s">
        <v>36</v>
      </c>
      <c r="B3" s="2" t="s">
        <v>25</v>
      </c>
    </row>
    <row r="4" spans="1:4" x14ac:dyDescent="0.35">
      <c r="A4" s="2" t="s">
        <v>26</v>
      </c>
      <c r="B4" t="s">
        <v>23</v>
      </c>
      <c r="C4" t="s">
        <v>24</v>
      </c>
      <c r="D4" t="s">
        <v>30</v>
      </c>
    </row>
    <row r="5" spans="1:4" x14ac:dyDescent="0.35">
      <c r="A5">
        <v>0</v>
      </c>
      <c r="B5" s="3">
        <v>8160</v>
      </c>
      <c r="C5" s="3">
        <v>8160</v>
      </c>
      <c r="D5" s="3">
        <v>16320</v>
      </c>
    </row>
    <row r="6" spans="1:4" x14ac:dyDescent="0.35">
      <c r="A6">
        <v>10</v>
      </c>
      <c r="B6" s="3">
        <v>6631.7791852420814</v>
      </c>
      <c r="C6" s="3">
        <v>15444.457967437565</v>
      </c>
      <c r="D6" s="3">
        <v>22076.237152679649</v>
      </c>
    </row>
    <row r="7" spans="1:4" x14ac:dyDescent="0.35">
      <c r="A7">
        <v>20</v>
      </c>
      <c r="B7" s="3">
        <v>12077.976891027405</v>
      </c>
      <c r="C7" s="3">
        <v>25328.152449042562</v>
      </c>
      <c r="D7" s="3">
        <v>37406.129340069965</v>
      </c>
    </row>
    <row r="8" spans="1:4" x14ac:dyDescent="0.35">
      <c r="A8">
        <v>30</v>
      </c>
      <c r="B8" s="3">
        <v>9415.9650171336652</v>
      </c>
      <c r="C8" s="3">
        <v>32085.005953799933</v>
      </c>
      <c r="D8" s="3">
        <v>41500.970970933602</v>
      </c>
    </row>
    <row r="9" spans="1:4" x14ac:dyDescent="0.35">
      <c r="A9">
        <v>40</v>
      </c>
      <c r="B9" s="3">
        <v>12810.688091748752</v>
      </c>
      <c r="C9" s="3">
        <v>32634.98493171599</v>
      </c>
      <c r="D9" s="3">
        <v>45445.67302346474</v>
      </c>
    </row>
    <row r="10" spans="1:4" x14ac:dyDescent="0.35">
      <c r="A10">
        <v>50</v>
      </c>
      <c r="B10" s="3">
        <v>9794.1960218777349</v>
      </c>
      <c r="C10" s="3">
        <v>25852.632328362379</v>
      </c>
      <c r="D10" s="3">
        <v>35646.828350240117</v>
      </c>
    </row>
    <row r="11" spans="1:4" x14ac:dyDescent="0.35">
      <c r="A11">
        <v>60</v>
      </c>
      <c r="B11" s="3">
        <v>3512.5318114555917</v>
      </c>
      <c r="C11" s="3">
        <v>19758.117394414676</v>
      </c>
      <c r="D11" s="3">
        <v>23270.649205870268</v>
      </c>
    </row>
    <row r="12" spans="1:4" x14ac:dyDescent="0.35">
      <c r="A12">
        <v>70</v>
      </c>
      <c r="B12" s="3">
        <v>2907.7811866677162</v>
      </c>
      <c r="C12" s="3">
        <v>14952.258883413575</v>
      </c>
      <c r="D12" s="3">
        <v>17860.04007008129</v>
      </c>
    </row>
    <row r="13" spans="1:4" x14ac:dyDescent="0.35">
      <c r="A13">
        <v>80</v>
      </c>
      <c r="B13" s="3">
        <v>2965.0316282965418</v>
      </c>
      <c r="C13" s="3">
        <v>11428.258221029406</v>
      </c>
      <c r="D13" s="3">
        <v>14393.289849325947</v>
      </c>
    </row>
    <row r="14" spans="1:4" x14ac:dyDescent="0.35">
      <c r="A14">
        <v>90</v>
      </c>
      <c r="B14" s="3">
        <v>2379.3087427966816</v>
      </c>
      <c r="C14" s="3">
        <v>8957.4111267020817</v>
      </c>
      <c r="D14" s="3">
        <v>11336.719869498764</v>
      </c>
    </row>
    <row r="15" spans="1:4" x14ac:dyDescent="0.35">
      <c r="A15">
        <v>100</v>
      </c>
      <c r="B15" s="3">
        <v>2215.1558909955329</v>
      </c>
      <c r="C15" s="3">
        <v>7275.3086030896247</v>
      </c>
      <c r="D15" s="3">
        <v>9490.4644940851576</v>
      </c>
    </row>
    <row r="16" spans="1:4" x14ac:dyDescent="0.35">
      <c r="A16">
        <v>110</v>
      </c>
      <c r="B16" s="3">
        <v>1565.0310436758402</v>
      </c>
      <c r="C16" s="3">
        <v>6153.2010666632614</v>
      </c>
      <c r="D16" s="3">
        <v>7718.2321103391014</v>
      </c>
    </row>
    <row r="17" spans="1:4" x14ac:dyDescent="0.35">
      <c r="A17">
        <v>120</v>
      </c>
      <c r="B17" s="3">
        <v>1266.6829723820774</v>
      </c>
      <c r="C17" s="3">
        <v>5415.4271592134082</v>
      </c>
      <c r="D17" s="3">
        <v>6682.1101315954857</v>
      </c>
    </row>
    <row r="18" spans="1:4" x14ac:dyDescent="0.35">
      <c r="A18">
        <v>130</v>
      </c>
      <c r="B18" s="3">
        <v>875.03768443167019</v>
      </c>
      <c r="C18" s="3">
        <v>4935.4646772277965</v>
      </c>
      <c r="D18" s="3">
        <v>5810.5023616594663</v>
      </c>
    </row>
    <row r="19" spans="1:4" x14ac:dyDescent="0.35">
      <c r="A19">
        <v>140</v>
      </c>
      <c r="B19" s="3">
        <v>616.26995799288352</v>
      </c>
      <c r="C19" s="3">
        <v>4625.6834166145563</v>
      </c>
      <c r="D19" s="3">
        <v>5241.9533746074394</v>
      </c>
    </row>
    <row r="20" spans="1:4" x14ac:dyDescent="0.35">
      <c r="A20" t="s">
        <v>30</v>
      </c>
      <c r="B20" s="3">
        <v>77193.436125724154</v>
      </c>
      <c r="C20" s="3">
        <v>223006.3641787268</v>
      </c>
      <c r="D20" s="3">
        <v>300199.80030445097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Vaiva Romka</dc:creator>
  <cp:lastModifiedBy>tadas</cp:lastModifiedBy>
  <dcterms:created xsi:type="dcterms:W3CDTF">2015-06-05T18:17:20Z</dcterms:created>
  <dcterms:modified xsi:type="dcterms:W3CDTF">2019-11-12T20:34:03Z</dcterms:modified>
</cp:coreProperties>
</file>